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6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7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8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9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30" windowWidth="13185" windowHeight="12465" firstSheet="4" activeTab="5"/>
  </bookViews>
  <sheets>
    <sheet name="Black Scholes Option Pricing" sheetId="4" r:id="rId1"/>
    <sheet name="Bisection Method" sheetId="6" r:id="rId2"/>
    <sheet name="Newton-Raphson" sheetId="7" r:id="rId3"/>
    <sheet name="Black Scholes Variance Estimate" sheetId="5" r:id="rId4"/>
    <sheet name="Compound Option Model" sheetId="14" r:id="rId5"/>
    <sheet name="European Known Dividend Model" sheetId="8" r:id="rId6"/>
    <sheet name="Black's Pseudo American Call" sheetId="9" r:id="rId7"/>
    <sheet name="Geske Roll Whaley Model" sheetId="15" r:id="rId8"/>
    <sheet name="Merton Dividend Leakage" sheetId="10" r:id="rId9"/>
    <sheet name="Margrabe Exchange Options" sheetId="11" r:id="rId10"/>
    <sheet name="Currency Option Pricing" sheetId="12" r:id="rId11"/>
    <sheet name="Chooser Options" sheetId="13" r:id="rId12"/>
    <sheet name="Sheet1" sheetId="1" r:id="rId13"/>
    <sheet name="Sheet2" sheetId="2" r:id="rId14"/>
    <sheet name="Sheet3" sheetId="3" r:id="rId15"/>
  </sheets>
  <calcPr calcId="145621"/>
</workbook>
</file>

<file path=xl/calcChain.xml><?xml version="1.0" encoding="utf-8"?>
<calcChain xmlns="http://schemas.openxmlformats.org/spreadsheetml/2006/main">
  <c r="F4" i="15" l="1"/>
  <c r="F5" i="15" s="1"/>
  <c r="F7" i="15" s="1"/>
  <c r="G4" i="15"/>
  <c r="G5" i="15" s="1"/>
  <c r="G6" i="15"/>
  <c r="B26" i="15" s="1"/>
  <c r="G8" i="15"/>
  <c r="B14" i="15"/>
  <c r="B15" i="15"/>
  <c r="G16" i="15"/>
  <c r="H16" i="15"/>
  <c r="F4" i="14"/>
  <c r="F5" i="14" s="1"/>
  <c r="F7" i="14" s="1"/>
  <c r="G4" i="14"/>
  <c r="G5" i="14" s="1"/>
  <c r="G7" i="14" s="1"/>
  <c r="F6" i="14"/>
  <c r="G8" i="14"/>
  <c r="B14" i="14"/>
  <c r="B15" i="14"/>
  <c r="F4" i="13"/>
  <c r="J4" i="13"/>
  <c r="F5" i="13"/>
  <c r="F7" i="13" s="1"/>
  <c r="J5" i="13"/>
  <c r="F6" i="13"/>
  <c r="J6" i="13"/>
  <c r="J7" i="13"/>
  <c r="J8" i="13"/>
  <c r="J9" i="13"/>
  <c r="J10" i="13"/>
  <c r="F4" i="12"/>
  <c r="F5" i="12" s="1"/>
  <c r="F7" i="12" s="1"/>
  <c r="F4" i="11"/>
  <c r="F5" i="11"/>
  <c r="F7" i="11" s="1"/>
  <c r="G4" i="10"/>
  <c r="G5" i="10" s="1"/>
  <c r="G7" i="10" s="1"/>
  <c r="G4" i="9"/>
  <c r="G5" i="9" s="1"/>
  <c r="G7" i="9" s="1"/>
  <c r="C27" i="9"/>
  <c r="D30" i="9"/>
  <c r="G30" i="9" s="1"/>
  <c r="D31" i="9"/>
  <c r="D32" i="9"/>
  <c r="D33" i="9"/>
  <c r="D35" i="9"/>
  <c r="D36" i="9"/>
  <c r="D34" i="9" s="1"/>
  <c r="G4" i="8"/>
  <c r="G6" i="8" s="1"/>
  <c r="B7" i="7"/>
  <c r="C6" i="6"/>
  <c r="D6" i="6" s="1"/>
  <c r="C7" i="6"/>
  <c r="D7" i="6" s="1"/>
  <c r="F4" i="5"/>
  <c r="F6" i="5" s="1"/>
  <c r="G4" i="4"/>
  <c r="G5" i="4" s="1"/>
  <c r="G7" i="4" s="1"/>
  <c r="G6" i="4"/>
  <c r="H19" i="15"/>
  <c r="G9" i="14"/>
  <c r="G9" i="15"/>
  <c r="G10" i="14"/>
  <c r="C9" i="6" l="1"/>
  <c r="G6" i="10"/>
  <c r="M4" i="13"/>
  <c r="M5" i="13" s="1"/>
  <c r="M7" i="13" s="1"/>
  <c r="F6" i="15"/>
  <c r="B9" i="6"/>
  <c r="D9" i="6" s="1"/>
  <c r="E9" i="6" s="1"/>
  <c r="G6" i="9"/>
  <c r="G8" i="9" s="1"/>
  <c r="G9" i="9" s="1"/>
  <c r="F6" i="12"/>
  <c r="F8" i="12" s="1"/>
  <c r="F9" i="12" s="1"/>
  <c r="G6" i="14"/>
  <c r="F5" i="5"/>
  <c r="F7" i="5" s="1"/>
  <c r="F8" i="5" s="1"/>
  <c r="B29" i="15"/>
  <c r="B21" i="15" s="1"/>
  <c r="G7" i="15"/>
  <c r="B21" i="14"/>
  <c r="F8" i="13"/>
  <c r="F6" i="11"/>
  <c r="F8" i="11" s="1"/>
  <c r="F9" i="11" s="1"/>
  <c r="F10" i="11" s="1"/>
  <c r="G8" i="10"/>
  <c r="G9" i="10" s="1"/>
  <c r="G32" i="9"/>
  <c r="G34" i="9" s="1"/>
  <c r="G35" i="9" s="1"/>
  <c r="G31" i="9"/>
  <c r="G33" i="9" s="1"/>
  <c r="G5" i="8"/>
  <c r="G7" i="8" s="1"/>
  <c r="G8" i="8" s="1"/>
  <c r="G9" i="8" s="1"/>
  <c r="D7" i="7"/>
  <c r="F6" i="6"/>
  <c r="E6" i="6"/>
  <c r="G6" i="6" s="1"/>
  <c r="F7" i="6"/>
  <c r="H7" i="6" s="1"/>
  <c r="I7" i="6" s="1"/>
  <c r="B7" i="6" s="1"/>
  <c r="E7" i="6"/>
  <c r="G7" i="6" s="1"/>
  <c r="F9" i="6"/>
  <c r="H9" i="6" s="1"/>
  <c r="G9" i="6"/>
  <c r="G8" i="4"/>
  <c r="G9" i="4" s="1"/>
  <c r="G10" i="15"/>
  <c r="M6" i="13" l="1"/>
  <c r="M8" i="13" s="1"/>
  <c r="M9" i="13" s="1"/>
  <c r="H6" i="6"/>
  <c r="I6" i="6" s="1"/>
  <c r="B6" i="6" s="1"/>
  <c r="B32" i="15"/>
  <c r="D17" i="15"/>
  <c r="B35" i="15"/>
  <c r="F9" i="13"/>
  <c r="H12" i="13"/>
  <c r="E7" i="7"/>
  <c r="G7" i="7" s="1"/>
  <c r="C7" i="7"/>
  <c r="F7" i="7"/>
  <c r="I9" i="6"/>
  <c r="J9" i="6" s="1"/>
  <c r="H15" i="15" l="1"/>
  <c r="D18" i="15"/>
  <c r="D19" i="15" s="1"/>
  <c r="H7" i="7"/>
  <c r="B8" i="7" s="1"/>
  <c r="C10" i="6"/>
  <c r="B10" i="6"/>
  <c r="G15" i="15" l="1"/>
  <c r="G17" i="15" s="1"/>
  <c r="H17" i="15"/>
  <c r="D8" i="7"/>
  <c r="D10" i="6"/>
  <c r="E10" i="6" s="1"/>
  <c r="H20" i="15"/>
  <c r="F8" i="7" l="1"/>
  <c r="E8" i="7"/>
  <c r="G8" i="7" s="1"/>
  <c r="C8" i="7"/>
  <c r="G10" i="6"/>
  <c r="I10" i="6" s="1"/>
  <c r="J10" i="6" s="1"/>
  <c r="F10" i="6"/>
  <c r="H10" i="6" s="1"/>
  <c r="H8" i="7" l="1"/>
  <c r="B9" i="7" s="1"/>
  <c r="B11" i="6"/>
  <c r="C11" i="6"/>
  <c r="D11" i="6" l="1"/>
  <c r="E11" i="6" s="1"/>
  <c r="D9" i="7"/>
  <c r="F11" i="6"/>
  <c r="H11" i="6" s="1"/>
  <c r="G11" i="6"/>
  <c r="I11" i="6" s="1"/>
  <c r="J11" i="6" s="1"/>
  <c r="C9" i="7" l="1"/>
  <c r="E9" i="7"/>
  <c r="G9" i="7" s="1"/>
  <c r="F9" i="7"/>
  <c r="C12" i="6"/>
  <c r="B12" i="6"/>
  <c r="H9" i="7" l="1"/>
  <c r="B10" i="7" s="1"/>
  <c r="D12" i="6"/>
  <c r="E12" i="6" s="1"/>
  <c r="D10" i="7" l="1"/>
  <c r="G12" i="6"/>
  <c r="F12" i="6"/>
  <c r="H12" i="6" s="1"/>
  <c r="I12" i="6" l="1"/>
  <c r="J12" i="6" s="1"/>
  <c r="F10" i="7"/>
  <c r="C10" i="7"/>
  <c r="E10" i="7"/>
  <c r="G10" i="7" s="1"/>
  <c r="B13" i="6"/>
  <c r="C13" i="6"/>
  <c r="H10" i="7" l="1"/>
  <c r="B11" i="7" s="1"/>
  <c r="D13" i="6"/>
  <c r="E13" i="6" s="1"/>
  <c r="F13" i="6" s="1"/>
  <c r="H13" i="6" s="1"/>
  <c r="D11" i="7"/>
  <c r="G13" i="6"/>
  <c r="I13" i="6" l="1"/>
  <c r="J13" i="6" s="1"/>
  <c r="E11" i="7"/>
  <c r="G11" i="7" s="1"/>
  <c r="C11" i="7"/>
  <c r="F11" i="7"/>
  <c r="H11" i="7" s="1"/>
  <c r="B12" i="7" s="1"/>
  <c r="D12" i="7" s="1"/>
  <c r="C14" i="6"/>
  <c r="B14" i="6"/>
  <c r="F12" i="7" l="1"/>
  <c r="E12" i="7"/>
  <c r="G12" i="7" s="1"/>
  <c r="C12" i="7"/>
  <c r="D14" i="6"/>
  <c r="E14" i="6" s="1"/>
  <c r="H12" i="7" l="1"/>
  <c r="G14" i="6"/>
  <c r="F14" i="6"/>
  <c r="H14" i="6" s="1"/>
  <c r="I14" i="6" l="1"/>
  <c r="J14" i="6" s="1"/>
  <c r="B15" i="6"/>
  <c r="C15" i="6"/>
  <c r="D15" i="6" l="1"/>
  <c r="E15" i="6" s="1"/>
  <c r="F15" i="6"/>
  <c r="H15" i="6" s="1"/>
  <c r="G15" i="6"/>
  <c r="I15" i="6" l="1"/>
  <c r="J15" i="6" s="1"/>
  <c r="C16" i="6" l="1"/>
  <c r="B16" i="6"/>
  <c r="D16" i="6" l="1"/>
  <c r="E16" i="6" s="1"/>
  <c r="G16" i="6" l="1"/>
  <c r="F16" i="6"/>
  <c r="H16" i="6" s="1"/>
  <c r="I16" i="6" l="1"/>
  <c r="J16" i="6" s="1"/>
  <c r="B17" i="6"/>
  <c r="C17" i="6"/>
  <c r="D17" i="6" l="1"/>
  <c r="E17" i="6" s="1"/>
  <c r="G17" i="6" s="1"/>
  <c r="F17" i="6" l="1"/>
  <c r="H17" i="6" s="1"/>
  <c r="I17" i="6" s="1"/>
  <c r="J17" i="6" s="1"/>
  <c r="C18" i="6" l="1"/>
  <c r="B18" i="6"/>
  <c r="D18" i="6"/>
  <c r="E18" i="6" s="1"/>
  <c r="G18" i="6" l="1"/>
  <c r="F18" i="6"/>
  <c r="H18" i="6" s="1"/>
  <c r="I18" i="6" l="1"/>
  <c r="J18" i="6" s="1"/>
  <c r="B19" i="6"/>
  <c r="C19" i="6"/>
  <c r="D19" i="6" l="1"/>
  <c r="E19" i="6" s="1"/>
  <c r="F19" i="6"/>
  <c r="H19" i="6" s="1"/>
  <c r="G19" i="6"/>
  <c r="I19" i="6" s="1"/>
  <c r="J19" i="6" s="1"/>
  <c r="C20" i="6" l="1"/>
  <c r="B20" i="6"/>
  <c r="D20" i="6" l="1"/>
  <c r="E20" i="6" s="1"/>
  <c r="G20" i="6" l="1"/>
  <c r="F20" i="6"/>
  <c r="H20" i="6" s="1"/>
  <c r="I20" i="6" l="1"/>
  <c r="J20" i="6" s="1"/>
  <c r="B21" i="6"/>
  <c r="C21" i="6"/>
  <c r="D21" i="6" l="1"/>
  <c r="E21" i="6" s="1"/>
  <c r="G21" i="6" l="1"/>
  <c r="F21" i="6"/>
  <c r="H21" i="6" s="1"/>
  <c r="I21" i="6" l="1"/>
  <c r="J21" i="6" s="1"/>
  <c r="C22" i="6"/>
  <c r="B22" i="6"/>
  <c r="D22" i="6" s="1"/>
  <c r="E22" i="6" s="1"/>
  <c r="G22" i="6" l="1"/>
  <c r="F22" i="6"/>
  <c r="H22" i="6" s="1"/>
  <c r="I22" i="6" l="1"/>
  <c r="J22" i="6" s="1"/>
  <c r="B23" i="6" l="1"/>
  <c r="C23" i="6"/>
  <c r="D23" i="6" l="1"/>
  <c r="E23" i="6" s="1"/>
  <c r="F23" i="6"/>
  <c r="H23" i="6" s="1"/>
  <c r="G23" i="6"/>
  <c r="I23" i="6" s="1"/>
  <c r="J23" i="6" s="1"/>
  <c r="C24" i="6" l="1"/>
  <c r="B24" i="6"/>
  <c r="D24" i="6" s="1"/>
  <c r="E24" i="6" s="1"/>
  <c r="G24" i="6" l="1"/>
  <c r="F24" i="6"/>
  <c r="H24" i="6" s="1"/>
  <c r="I24" i="6" l="1"/>
  <c r="J24" i="6" s="1"/>
  <c r="B25" i="6"/>
  <c r="C25" i="6"/>
  <c r="D25" i="6" l="1"/>
  <c r="E25" i="6" s="1"/>
  <c r="G25" i="6" l="1"/>
  <c r="F25" i="6"/>
  <c r="H25" i="6" s="1"/>
  <c r="I25" i="6" l="1"/>
  <c r="J25" i="6" s="1"/>
  <c r="C26" i="6" l="1"/>
  <c r="B26" i="6"/>
  <c r="D26" i="6" s="1"/>
  <c r="E26" i="6" s="1"/>
  <c r="G26" i="6" l="1"/>
  <c r="F26" i="6"/>
  <c r="H26" i="6" s="1"/>
  <c r="I26" i="6" l="1"/>
  <c r="J26" i="6" s="1"/>
  <c r="B27" i="6" l="1"/>
  <c r="C27" i="6"/>
  <c r="D27" i="6" l="1"/>
  <c r="E27" i="6" l="1"/>
  <c r="G3" i="6"/>
  <c r="F27" i="6" l="1"/>
  <c r="H27" i="6" s="1"/>
  <c r="G27" i="6"/>
  <c r="I27" i="6" s="1"/>
  <c r="J27" i="6" s="1"/>
</calcChain>
</file>

<file path=xl/comments1.xml><?xml version="1.0" encoding="utf-8"?>
<comments xmlns="http://schemas.openxmlformats.org/spreadsheetml/2006/main">
  <authors>
    <author>Unknown User</author>
  </authors>
  <commentList>
    <comment ref="B2" authorId="0">
      <text>
        <r>
          <rPr>
            <sz val="8"/>
            <color indexed="81"/>
            <rFont val="Tahoma"/>
            <family val="2"/>
          </rPr>
          <t>Enter a trial value for standard deviation that you believe to be greater than the Black-Scholes Implied value.</t>
        </r>
      </text>
    </comment>
    <comment ref="D2" authorId="0">
      <text>
        <r>
          <rPr>
            <sz val="8"/>
            <color indexed="81"/>
            <rFont val="Tahoma"/>
            <family val="2"/>
          </rPr>
          <t>Enter a trial value for standard deviation that you believe to be less than the Black-Scholes Implied value.</t>
        </r>
      </text>
    </comment>
  </commentList>
</comments>
</file>

<file path=xl/sharedStrings.xml><?xml version="1.0" encoding="utf-8"?>
<sst xmlns="http://schemas.openxmlformats.org/spreadsheetml/2006/main" count="386" uniqueCount="132">
  <si>
    <t>The Black Scholes Options Pricing Formulas:</t>
  </si>
  <si>
    <t>p0 =</t>
  </si>
  <si>
    <t>c0 =</t>
  </si>
  <si>
    <t>T =</t>
  </si>
  <si>
    <t>Time to Expiry</t>
  </si>
  <si>
    <t>N(d2) =</t>
  </si>
  <si>
    <t>sigma =</t>
  </si>
  <si>
    <t>Standard Deviation</t>
  </si>
  <si>
    <t>N(d1) =</t>
  </si>
  <si>
    <t>r =</t>
  </si>
  <si>
    <t>Riskless Rate</t>
  </si>
  <si>
    <t>d2 =</t>
  </si>
  <si>
    <t>X =</t>
  </si>
  <si>
    <t>Exercise Price</t>
  </si>
  <si>
    <t>d1 =</t>
  </si>
  <si>
    <t>S =</t>
  </si>
  <si>
    <t>Stock Price</t>
  </si>
  <si>
    <t>Outputs</t>
  </si>
  <si>
    <t>Formula Values</t>
  </si>
  <si>
    <t>Inputs</t>
  </si>
  <si>
    <t>Symbols</t>
  </si>
  <si>
    <t>Input Definitions</t>
  </si>
  <si>
    <t>The Black-Scholes Options Pricing Model</t>
  </si>
  <si>
    <t>Substitute values for sigma until c0 equals market price.</t>
  </si>
  <si>
    <r>
      <t>f(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</si>
  <si>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>c(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</si>
  <si>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 xml:space="preserve">  N[d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)]</t>
    </r>
  </si>
  <si>
    <r>
      <t xml:space="preserve">  N[d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)]</t>
    </r>
  </si>
  <si>
    <r>
      <t xml:space="preserve">  d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</si>
  <si>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 xml:space="preserve">  d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</si>
  <si>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>s</t>
    </r>
    <r>
      <rPr>
        <vertAlign val="subscript"/>
        <sz val="12"/>
        <rFont val="Times New Roman"/>
        <family val="1"/>
      </rPr>
      <t>n</t>
    </r>
  </si>
  <si>
    <r>
      <t>b</t>
    </r>
    <r>
      <rPr>
        <vertAlign val="subscript"/>
        <sz val="9"/>
        <rFont val="Times New Roman"/>
        <family val="1"/>
      </rPr>
      <t>n</t>
    </r>
  </si>
  <si>
    <r>
      <t>a</t>
    </r>
    <r>
      <rPr>
        <vertAlign val="subscript"/>
        <sz val="9"/>
        <rFont val="Times New Roman"/>
        <family val="1"/>
      </rPr>
      <t>n</t>
    </r>
  </si>
  <si>
    <t>n</t>
  </si>
  <si>
    <r>
      <t xml:space="preserve">   f(b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)=</t>
    </r>
  </si>
  <si>
    <r>
      <t xml:space="preserve">   f(a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)=</t>
    </r>
  </si>
  <si>
    <r>
      <t xml:space="preserve">      </t>
    </r>
    <r>
      <rPr>
        <i/>
        <sz val="9"/>
        <rFont val="Times New Roman"/>
        <family val="1"/>
      </rPr>
      <t>T</t>
    </r>
    <r>
      <rPr>
        <sz val="9"/>
        <rFont val="Times New Roman"/>
        <family val="1"/>
      </rPr>
      <t xml:space="preserve"> =</t>
    </r>
  </si>
  <si>
    <r>
      <t xml:space="preserve">     </t>
    </r>
    <r>
      <rPr>
        <i/>
        <sz val="9"/>
        <rFont val="Times New Roman"/>
        <family val="1"/>
      </rPr>
      <t>C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</si>
  <si>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>X</t>
    </r>
    <r>
      <rPr>
        <sz val="9"/>
        <rFont val="Times New Roman"/>
        <family val="1"/>
      </rPr>
      <t xml:space="preserve">  =</t>
    </r>
  </si>
  <si>
    <r>
      <t xml:space="preserve">      S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</si>
  <si>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 xml:space="preserve">     r</t>
    </r>
    <r>
      <rPr>
        <i/>
        <vertAlign val="subscript"/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=</t>
    </r>
  </si>
  <si>
    <t>Enter values in the bordered cells.</t>
  </si>
  <si>
    <r>
      <t xml:space="preserve">      b</t>
    </r>
    <r>
      <rPr>
        <i/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=</t>
    </r>
  </si>
  <si>
    <r>
      <t xml:space="preserve">     a</t>
    </r>
    <r>
      <rPr>
        <i/>
        <vertAlign val="sub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</si>
  <si>
    <t>Using the Bisection Method to Estimate Implied Volatility</t>
  </si>
  <si>
    <r>
      <t xml:space="preserve">    f(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</si>
  <si>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N (d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</si>
  <si>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 xml:space="preserve">    N(d</t>
    </r>
    <r>
      <rPr>
        <i/>
        <vertAlign val="subscript"/>
        <sz val="9"/>
        <rFont val="Times New Roman"/>
        <family val="1"/>
      </rPr>
      <t>1</t>
    </r>
    <r>
      <rPr>
        <i/>
        <sz val="9"/>
        <rFont val="Times New Roman"/>
        <family val="1"/>
      </rPr>
      <t>)</t>
    </r>
  </si>
  <si>
    <r>
      <t xml:space="preserve">    d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</si>
  <si>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 d</t>
    </r>
    <r>
      <rPr>
        <i/>
        <vertAlign val="subscript"/>
        <sz val="9"/>
        <rFont val="Times New Roman"/>
        <family val="1"/>
      </rPr>
      <t>1</t>
    </r>
    <r>
      <rPr>
        <i/>
        <sz val="9"/>
        <rFont val="Times New Roman"/>
        <family val="1"/>
      </rPr>
      <t>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</si>
  <si>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 f'(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</si>
  <si>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  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</si>
  <si>
    <r>
      <t xml:space="preserve">  X</t>
    </r>
    <r>
      <rPr>
        <sz val="9"/>
        <rFont val="Times New Roman"/>
        <family val="1"/>
      </rPr>
      <t xml:space="preserve">  =</t>
    </r>
  </si>
  <si>
    <r>
      <t xml:space="preserve">  </t>
    </r>
    <r>
      <rPr>
        <i/>
        <sz val="9"/>
        <rFont val="Times New Roman"/>
        <family val="1"/>
      </rPr>
      <t>C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</si>
  <si>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 xml:space="preserve">   </t>
    </r>
    <r>
      <rPr>
        <i/>
        <sz val="9"/>
        <rFont val="Times New Roman"/>
        <family val="1"/>
      </rPr>
      <t>T</t>
    </r>
    <r>
      <rPr>
        <sz val="9"/>
        <rFont val="Times New Roman"/>
        <family val="1"/>
      </rPr>
      <t xml:space="preserve"> =</t>
    </r>
  </si>
  <si>
    <r>
      <t xml:space="preserve">   r</t>
    </r>
    <r>
      <rPr>
        <i/>
        <vertAlign val="subscript"/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=</t>
    </r>
  </si>
  <si>
    <r>
      <t xml:space="preserve">   S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</si>
  <si>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 xml:space="preserve">  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0</t>
    </r>
    <r>
      <rPr>
        <vertAlign val="sub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</si>
  <si>
    <t>Using the Newton Raphson Method to Estimate Implied Volatility</t>
  </si>
  <si>
    <t>The European Known Dividend Options Pricing Formulas:</t>
  </si>
  <si>
    <r>
      <t xml:space="preserve">       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</si>
  <si>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Ex-dividend Date</t>
  </si>
  <si>
    <t xml:space="preserve">        D =</t>
  </si>
  <si>
    <t>Dividend Amount</t>
  </si>
  <si>
    <t>Black-Scholes European Known Dividend Model</t>
  </si>
  <si>
    <r>
      <t xml:space="preserve">        t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</si>
  <si>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Black-Scholes Model for Use with Black's Pseudo-American Call Model</t>
  </si>
  <si>
    <t>Compare dividend to present value of exercise money.</t>
  </si>
  <si>
    <r>
      <t>X[1-e</t>
    </r>
    <r>
      <rPr>
        <vertAlign val="superscript"/>
        <sz val="10"/>
        <rFont val="Arial"/>
        <family val="2"/>
      </rPr>
      <t>-r(T-tD)</t>
    </r>
    <r>
      <rPr>
        <sz val="10"/>
        <rFont val="Arial"/>
        <family val="2"/>
      </rPr>
      <t xml:space="preserve">]  = </t>
    </r>
  </si>
  <si>
    <t>Black's Pseudo-American Call Model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</si>
  <si>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 + Xe</t>
    </r>
    <r>
      <rPr>
        <vertAlign val="superscript"/>
        <sz val="12"/>
        <rFont val="Times New Roman"/>
        <family val="1"/>
      </rPr>
      <t>-rft</t>
    </r>
    <r>
      <rPr>
        <sz val="12"/>
        <rFont val="Times New Roman"/>
        <family val="1"/>
      </rPr>
      <t xml:space="preserve"> - S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e</t>
    </r>
    <r>
      <rPr>
        <vertAlign val="superscript"/>
        <sz val="12"/>
        <rFont val="Times New Roman"/>
        <family val="1"/>
      </rPr>
      <t>-r</t>
    </r>
    <r>
      <rPr>
        <sz val="8"/>
        <rFont val="Times New Roman"/>
        <family val="1"/>
      </rPr>
      <t>f</t>
    </r>
    <r>
      <rPr>
        <vertAlign val="superscript"/>
        <sz val="12"/>
        <rFont val="Times New Roman"/>
        <family val="1"/>
      </rPr>
      <t>T</t>
    </r>
  </si>
  <si>
    <t>The Merton Continuous Leakage Formulas:</t>
  </si>
  <si>
    <t>d =</t>
  </si>
  <si>
    <t>Dividend Yield</t>
  </si>
  <si>
    <t>The Merton Continuous Dividend Leakage Options Pricing Model</t>
  </si>
  <si>
    <t xml:space="preserve">       p0=</t>
  </si>
  <si>
    <r>
      <rPr>
        <b/>
        <sz val="16"/>
        <rFont val="Symbol"/>
        <family val="1"/>
        <charset val="2"/>
      </rPr>
      <t>r</t>
    </r>
    <r>
      <rPr>
        <b/>
        <vertAlign val="subscript"/>
        <sz val="16"/>
        <rFont val="Arial"/>
        <family val="2"/>
      </rPr>
      <t>1,2</t>
    </r>
    <r>
      <rPr>
        <b/>
        <sz val="16"/>
        <rFont val="Arial"/>
        <family val="2"/>
      </rPr>
      <t xml:space="preserve"> =</t>
    </r>
  </si>
  <si>
    <t>Asset Correlation</t>
  </si>
  <si>
    <t>sigma (1) =</t>
  </si>
  <si>
    <t>Standard Deviation 1</t>
  </si>
  <si>
    <t>r(f) =</t>
  </si>
  <si>
    <r>
      <t>S</t>
    </r>
    <r>
      <rPr>
        <b/>
        <vertAlign val="subscript"/>
        <sz val="16"/>
        <rFont val="Arial"/>
        <family val="2"/>
      </rPr>
      <t>2,0</t>
    </r>
    <r>
      <rPr>
        <b/>
        <sz val="16"/>
        <rFont val="Arial"/>
        <family val="2"/>
      </rPr>
      <t xml:space="preserve"> =</t>
    </r>
  </si>
  <si>
    <t>Asset 2 Value</t>
  </si>
  <si>
    <r>
      <rPr>
        <b/>
        <sz val="16"/>
        <rFont val="Calibri"/>
        <family val="2"/>
      </rPr>
      <t>σ</t>
    </r>
    <r>
      <rPr>
        <b/>
        <sz val="16"/>
        <rFont val="Arial"/>
        <family val="2"/>
      </rPr>
      <t xml:space="preserve"> =</t>
    </r>
  </si>
  <si>
    <r>
      <t>S</t>
    </r>
    <r>
      <rPr>
        <b/>
        <vertAlign val="subscript"/>
        <sz val="16"/>
        <rFont val="Arial"/>
        <family val="2"/>
      </rPr>
      <t>1,0</t>
    </r>
    <r>
      <rPr>
        <b/>
        <sz val="16"/>
        <rFont val="Arial"/>
        <family val="2"/>
      </rPr>
      <t xml:space="preserve"> =</t>
    </r>
  </si>
  <si>
    <t>Asset 1 Value</t>
  </si>
  <si>
    <t>The Margrabe-Fisher Exchange Options Pricing Model</t>
  </si>
  <si>
    <t xml:space="preserve">          r(f) =</t>
  </si>
  <si>
    <t>Foreign Riskless Rate</t>
  </si>
  <si>
    <t>r(d) =</t>
  </si>
  <si>
    <t>Domestic Riskless Rate</t>
  </si>
  <si>
    <r>
      <t>s</t>
    </r>
    <r>
      <rPr>
        <b/>
        <vertAlign val="subscript"/>
        <sz val="16"/>
        <rFont val="Arial"/>
        <family val="2"/>
      </rPr>
      <t>0</t>
    </r>
    <r>
      <rPr>
        <b/>
        <sz val="16"/>
        <rFont val="Arial"/>
        <family val="2"/>
      </rPr>
      <t xml:space="preserve"> =</t>
    </r>
  </si>
  <si>
    <t>Exchange Rate</t>
  </si>
  <si>
    <t>The Garman and Köhlagen Options Pricing Model (Currencies)</t>
  </si>
  <si>
    <t>Chooser Option Value:</t>
  </si>
  <si>
    <r>
      <t>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</si>
  <si>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t>Chooser Date</t>
  </si>
  <si>
    <r>
      <t>Put(S,X,r,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>,t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,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)</t>
    </r>
  </si>
  <si>
    <r>
      <t>Call(S,X,r,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>,T,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)</t>
    </r>
  </si>
  <si>
    <t>Chooser Options</t>
  </si>
  <si>
    <r>
      <t>c</t>
    </r>
    <r>
      <rPr>
        <b/>
        <vertAlign val="subscript"/>
        <sz val="11"/>
        <rFont val="Arial"/>
        <family val="2"/>
      </rPr>
      <t xml:space="preserve">0,call </t>
    </r>
    <r>
      <rPr>
        <b/>
        <sz val="11"/>
        <rFont val="Arial"/>
        <family val="2"/>
      </rPr>
      <t>=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</si>
  <si>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</si>
  <si>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RAISE B13</t>
  </si>
  <si>
    <r>
      <t>C</t>
    </r>
    <r>
      <rPr>
        <b/>
        <vertAlign val="subscript"/>
        <sz val="10"/>
        <rFont val="Arial"/>
        <family val="2"/>
      </rPr>
      <t>tD</t>
    </r>
    <r>
      <rPr>
        <b/>
        <sz val="10"/>
        <rFont val="Arial"/>
        <family val="2"/>
      </rPr>
      <t xml:space="preserve"> =</t>
    </r>
  </si>
  <si>
    <t>IF B14 &lt; B15</t>
  </si>
  <si>
    <r>
      <t>Trial S*</t>
    </r>
    <r>
      <rPr>
        <b/>
        <vertAlign val="subscript"/>
        <sz val="10"/>
        <rFont val="Arial"/>
        <family val="2"/>
      </rPr>
      <t>tD</t>
    </r>
    <r>
      <rPr>
        <b/>
        <sz val="10"/>
        <rFont val="Arial"/>
        <family val="2"/>
      </rPr>
      <t xml:space="preserve"> =</t>
    </r>
  </si>
  <si>
    <r>
      <t xml:space="preserve">       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</si>
  <si>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First Expiry Date</t>
  </si>
  <si>
    <t>=bivar(d(2),y(2);rho)</t>
  </si>
  <si>
    <t>=bivar(d(1),y(1);rho)</t>
  </si>
  <si>
    <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</si>
  <si>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Second Expiry Date</t>
  </si>
  <si>
    <t>=rho</t>
  </si>
  <si>
    <r>
      <t>=N(y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</si>
  <si>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=N(y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</si>
  <si>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</si>
  <si>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Second Exercise Price</t>
  </si>
  <si>
    <t>=y2</t>
  </si>
  <si>
    <t>First Exercise Price</t>
  </si>
  <si>
    <t>=y1</t>
  </si>
  <si>
    <t>Geske-Roll-Whaley Compound Option Formula</t>
  </si>
  <si>
    <r>
      <t>c</t>
    </r>
    <r>
      <rPr>
        <b/>
        <vertAlign val="subscript"/>
        <sz val="11"/>
        <rFont val="Arial"/>
        <family val="2"/>
      </rPr>
      <t xml:space="preserve">0 </t>
    </r>
    <r>
      <rPr>
        <b/>
        <sz val="11"/>
        <rFont val="Arial"/>
        <family val="2"/>
      </rPr>
      <t>=</t>
    </r>
  </si>
  <si>
    <t>=bivar(d(2),-y(2);rho)</t>
  </si>
  <si>
    <t>=bivar(d(1),-y(1);rho)</t>
  </si>
  <si>
    <r>
      <t>=N(y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</si>
  <si>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=N(y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</si>
  <si>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S*</t>
    </r>
    <r>
      <rPr>
        <b/>
        <vertAlign val="subscript"/>
        <sz val="10"/>
        <rFont val="Arial"/>
        <family val="2"/>
      </rPr>
      <t>tD</t>
    </r>
    <r>
      <rPr>
        <b/>
        <sz val="10"/>
        <rFont val="Arial"/>
        <family val="2"/>
      </rPr>
      <t xml:space="preserve"> + D - X</t>
    </r>
  </si>
  <si>
    <t>IF B14 &gt; B15</t>
  </si>
  <si>
    <r>
      <t>Trial S*</t>
    </r>
    <r>
      <rPr>
        <b/>
        <vertAlign val="subscript"/>
        <sz val="10"/>
        <rFont val="Arial"/>
        <family val="2"/>
      </rPr>
      <t xml:space="preserve">tD </t>
    </r>
    <r>
      <rPr>
        <b/>
        <sz val="10"/>
        <rFont val="Arial"/>
        <family val="2"/>
      </rPr>
      <t>=</t>
    </r>
  </si>
  <si>
    <t>=bivar(d(2),-y(2);-rho)</t>
  </si>
  <si>
    <t>=bivar(d(1),-y(1);-rho)</t>
  </si>
  <si>
    <t>Geske-Roll-Whaley Compound Option Dividend Adjustment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</si>
</sst>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Symbol"/>
      <family val="1"/>
      <charset val="2"/>
    </font>
    <font>
      <vertAlign val="subscript"/>
      <sz val="9"/>
      <name val="Times New Roman"/>
      <family val="1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8"/>
      <color indexed="81"/>
      <name val="Tahoma"/>
      <family val="2"/>
    </font>
    <font>
      <i/>
      <sz val="9"/>
      <name val="Symbol"/>
      <family val="1"/>
      <charset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Symbol"/>
      <family val="1"/>
      <charset val="2"/>
    </font>
    <font>
      <b/>
      <vertAlign val="subscript"/>
      <sz val="16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1"/>
      <name val="Arial"/>
      <family val="2"/>
    </font>
    <font>
      <sz val="10"/>
      <color rgb="FFC0000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2" fillId="2" borderId="0" xfId="1" applyFill="1"/>
    <xf numFmtId="0" fontId="3" fillId="0" borderId="0" xfId="1" applyFont="1"/>
    <xf numFmtId="0" fontId="4" fillId="2" borderId="0" xfId="1" applyFont="1" applyFill="1" applyAlignment="1">
      <alignment horizontal="right"/>
    </xf>
    <xf numFmtId="0" fontId="5" fillId="0" borderId="0" xfId="1" applyFont="1"/>
    <xf numFmtId="0" fontId="4" fillId="2" borderId="0" xfId="1" applyFont="1" applyFill="1"/>
    <xf numFmtId="0" fontId="6" fillId="2" borderId="0" xfId="1" applyFont="1" applyFill="1"/>
    <xf numFmtId="0" fontId="2" fillId="0" borderId="0" xfId="4"/>
    <xf numFmtId="0" fontId="3" fillId="0" borderId="0" xfId="4" applyFont="1"/>
    <xf numFmtId="0" fontId="2" fillId="0" borderId="0" xfId="4" applyFont="1"/>
    <xf numFmtId="0" fontId="4" fillId="2" borderId="0" xfId="4" applyFont="1" applyFill="1" applyAlignment="1">
      <alignment horizontal="right"/>
    </xf>
    <xf numFmtId="0" fontId="4" fillId="2" borderId="0" xfId="4" applyFont="1" applyFill="1"/>
    <xf numFmtId="0" fontId="2" fillId="2" borderId="0" xfId="4" applyFill="1"/>
    <xf numFmtId="0" fontId="6" fillId="2" borderId="0" xfId="4" applyFont="1" applyFill="1"/>
    <xf numFmtId="0" fontId="7" fillId="0" borderId="0" xfId="4" applyFont="1"/>
    <xf numFmtId="0" fontId="8" fillId="0" borderId="0" xfId="4" applyFont="1"/>
    <xf numFmtId="0" fontId="7" fillId="0" borderId="1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2" fillId="0" borderId="0" xfId="4" applyFill="1" applyBorder="1"/>
    <xf numFmtId="0" fontId="7" fillId="0" borderId="2" xfId="4" applyFont="1" applyFill="1" applyBorder="1" applyAlignment="1">
      <alignment horizontal="left"/>
    </xf>
    <xf numFmtId="0" fontId="7" fillId="0" borderId="0" xfId="4" applyFont="1" applyBorder="1"/>
    <xf numFmtId="0" fontId="15" fillId="0" borderId="0" xfId="4" applyFont="1"/>
    <xf numFmtId="0" fontId="7" fillId="0" borderId="3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right"/>
    </xf>
    <xf numFmtId="0" fontId="7" fillId="0" borderId="4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right"/>
    </xf>
    <xf numFmtId="0" fontId="7" fillId="0" borderId="5" xfId="4" applyFont="1" applyFill="1" applyBorder="1" applyAlignment="1">
      <alignment horizontal="left"/>
    </xf>
    <xf numFmtId="0" fontId="2" fillId="0" borderId="0" xfId="4" applyAlignment="1">
      <alignment horizontal="center"/>
    </xf>
    <xf numFmtId="0" fontId="13" fillId="0" borderId="0" xfId="4" applyFont="1" applyAlignment="1">
      <alignment horizontal="center"/>
    </xf>
    <xf numFmtId="0" fontId="13" fillId="3" borderId="0" xfId="4" applyFont="1" applyFill="1"/>
    <xf numFmtId="0" fontId="7" fillId="3" borderId="0" xfId="4" applyFont="1" applyFill="1"/>
    <xf numFmtId="0" fontId="2" fillId="3" borderId="0" xfId="4" applyFill="1"/>
    <xf numFmtId="0" fontId="16" fillId="3" borderId="0" xfId="4" applyFont="1" applyFill="1"/>
    <xf numFmtId="0" fontId="13" fillId="3" borderId="0" xfId="4" applyFont="1" applyFill="1" applyBorder="1"/>
    <xf numFmtId="0" fontId="7" fillId="3" borderId="0" xfId="4" applyFont="1" applyFill="1" applyBorder="1"/>
    <xf numFmtId="0" fontId="5" fillId="0" borderId="0" xfId="4" applyFont="1"/>
    <xf numFmtId="0" fontId="4" fillId="3" borderId="0" xfId="4" applyFont="1" applyFill="1"/>
    <xf numFmtId="0" fontId="4" fillId="0" borderId="0" xfId="4" applyFont="1"/>
    <xf numFmtId="0" fontId="2" fillId="3" borderId="0" xfId="4" applyFont="1" applyFill="1"/>
    <xf numFmtId="0" fontId="2" fillId="3" borderId="0" xfId="4" applyFont="1" applyFill="1" applyAlignment="1">
      <alignment horizontal="right"/>
    </xf>
    <xf numFmtId="0" fontId="3" fillId="2" borderId="0" xfId="4" applyFont="1" applyFill="1"/>
    <xf numFmtId="0" fontId="21" fillId="0" borderId="0" xfId="4" applyFont="1"/>
    <xf numFmtId="0" fontId="24" fillId="3" borderId="0" xfId="4" applyFont="1" applyFill="1" applyAlignment="1">
      <alignment horizontal="right"/>
    </xf>
    <xf numFmtId="0" fontId="25" fillId="0" borderId="0" xfId="4" applyFont="1"/>
    <xf numFmtId="0" fontId="26" fillId="2" borderId="0" xfId="4" applyFont="1" applyFill="1"/>
    <xf numFmtId="0" fontId="25" fillId="0" borderId="0" xfId="4" applyFont="1" applyFill="1"/>
    <xf numFmtId="0" fontId="26" fillId="3" borderId="0" xfId="10" applyFont="1" applyFill="1" applyAlignment="1">
      <alignment horizontal="right"/>
    </xf>
    <xf numFmtId="0" fontId="3" fillId="3" borderId="0" xfId="4" applyFont="1" applyFill="1"/>
    <xf numFmtId="0" fontId="26" fillId="2" borderId="0" xfId="4" applyFont="1" applyFill="1" applyAlignment="1">
      <alignment horizontal="right"/>
    </xf>
    <xf numFmtId="0" fontId="25" fillId="2" borderId="0" xfId="4" applyFont="1" applyFill="1"/>
    <xf numFmtId="0" fontId="26" fillId="2" borderId="0" xfId="4" quotePrefix="1" applyFont="1" applyFill="1"/>
    <xf numFmtId="0" fontId="30" fillId="0" borderId="0" xfId="4" applyFont="1"/>
    <xf numFmtId="0" fontId="4" fillId="3" borderId="0" xfId="4" applyFont="1" applyFill="1" applyAlignment="1">
      <alignment horizontal="right"/>
    </xf>
    <xf numFmtId="0" fontId="31" fillId="2" borderId="0" xfId="4" applyFont="1" applyFill="1"/>
    <xf numFmtId="0" fontId="32" fillId="2" borderId="0" xfId="4" applyFont="1" applyFill="1"/>
    <xf numFmtId="0" fontId="30" fillId="3" borderId="0" xfId="4" applyFont="1" applyFill="1" applyAlignment="1">
      <alignment horizontal="right"/>
    </xf>
    <xf numFmtId="0" fontId="4" fillId="2" borderId="0" xfId="4" applyFont="1" applyFill="1" applyAlignment="1">
      <alignment horizontal="left"/>
    </xf>
    <xf numFmtId="0" fontId="35" fillId="0" borderId="0" xfId="4" applyFont="1"/>
    <xf numFmtId="0" fontId="4" fillId="3" borderId="0" xfId="4" quotePrefix="1" applyFont="1" applyFill="1"/>
    <xf numFmtId="0" fontId="4" fillId="3" borderId="0" xfId="4" quotePrefix="1" applyFont="1" applyFill="1" applyAlignment="1">
      <alignment horizontal="left"/>
    </xf>
    <xf numFmtId="0" fontId="2" fillId="3" borderId="0" xfId="4" quotePrefix="1" applyFont="1" applyFill="1"/>
    <xf numFmtId="0" fontId="2" fillId="3" borderId="0" xfId="4" quotePrefix="1" applyFont="1" applyFill="1" applyAlignment="1">
      <alignment horizontal="left"/>
    </xf>
    <xf numFmtId="0" fontId="2" fillId="0" borderId="0" xfId="4" applyFill="1"/>
    <xf numFmtId="0" fontId="2" fillId="0" borderId="0" xfId="4" quotePrefix="1" applyFont="1" applyFill="1"/>
  </cellXfs>
  <cellStyles count="19">
    <cellStyle name="Comma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1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5" Type="http://schemas.openxmlformats.org/officeDocument/2006/relationships/image" Target="../media/image35.png"/><Relationship Id="rId4" Type="http://schemas.openxmlformats.org/officeDocument/2006/relationships/image" Target="../media/image3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wmf"/><Relationship Id="rId5" Type="http://schemas.openxmlformats.org/officeDocument/2006/relationships/image" Target="../media/image18.wmf"/><Relationship Id="rId4" Type="http://schemas.openxmlformats.org/officeDocument/2006/relationships/image" Target="../media/image17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wmf"/><Relationship Id="rId2" Type="http://schemas.openxmlformats.org/officeDocument/2006/relationships/image" Target="../media/image22.wmf"/><Relationship Id="rId1" Type="http://schemas.openxmlformats.org/officeDocument/2006/relationships/image" Target="../media/image21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wmf"/><Relationship Id="rId2" Type="http://schemas.openxmlformats.org/officeDocument/2006/relationships/image" Target="../media/image25.wmf"/><Relationship Id="rId1" Type="http://schemas.openxmlformats.org/officeDocument/2006/relationships/image" Target="../media/image24.w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0.wmf"/><Relationship Id="rId2" Type="http://schemas.openxmlformats.org/officeDocument/2006/relationships/image" Target="../media/image29.wmf"/><Relationship Id="rId1" Type="http://schemas.openxmlformats.org/officeDocument/2006/relationships/image" Target="../media/image2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26</xdr:row>
      <xdr:rowOff>0</xdr:rowOff>
    </xdr:from>
    <xdr:to>
      <xdr:col>12</xdr:col>
      <xdr:colOff>342900</xdr:colOff>
      <xdr:row>28</xdr:row>
      <xdr:rowOff>28575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210050"/>
          <a:ext cx="6438900" cy="3524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95250</xdr:rowOff>
    </xdr:from>
    <xdr:to>
      <xdr:col>11</xdr:col>
      <xdr:colOff>282046</xdr:colOff>
      <xdr:row>16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" y="2038350"/>
          <a:ext cx="6949546" cy="5524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142875</xdr:colOff>
      <xdr:row>17</xdr:row>
      <xdr:rowOff>53890</xdr:rowOff>
    </xdr:from>
    <xdr:to>
      <xdr:col>4</xdr:col>
      <xdr:colOff>447675</xdr:colOff>
      <xdr:row>22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2875" y="2806615"/>
          <a:ext cx="2743200" cy="7747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85725</xdr:colOff>
      <xdr:row>22</xdr:row>
      <xdr:rowOff>114301</xdr:rowOff>
    </xdr:from>
    <xdr:to>
      <xdr:col>2</xdr:col>
      <xdr:colOff>125639</xdr:colOff>
      <xdr:row>25</xdr:row>
      <xdr:rowOff>9526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3676651"/>
          <a:ext cx="1259114" cy="381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123825</xdr:colOff>
      <xdr:row>25</xdr:row>
      <xdr:rowOff>123825</xdr:rowOff>
    </xdr:from>
    <xdr:to>
      <xdr:col>4</xdr:col>
      <xdr:colOff>386848</xdr:colOff>
      <xdr:row>31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5" y="4171950"/>
          <a:ext cx="2701423" cy="847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123826</xdr:colOff>
      <xdr:row>31</xdr:row>
      <xdr:rowOff>123826</xdr:rowOff>
    </xdr:from>
    <xdr:to>
      <xdr:col>2</xdr:col>
      <xdr:colOff>295275</xdr:colOff>
      <xdr:row>34</xdr:row>
      <xdr:rowOff>68011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6" y="5143501"/>
          <a:ext cx="1390649" cy="4299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23850"/>
          <a:ext cx="15240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23850"/>
          <a:ext cx="152400" cy="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12</xdr:row>
          <xdr:rowOff>104775</xdr:rowOff>
        </xdr:from>
        <xdr:to>
          <xdr:col>4</xdr:col>
          <xdr:colOff>542925</xdr:colOff>
          <xdr:row>16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16</xdr:row>
          <xdr:rowOff>76200</xdr:rowOff>
        </xdr:from>
        <xdr:to>
          <xdr:col>4</xdr:col>
          <xdr:colOff>800100</xdr:colOff>
          <xdr:row>22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800100</xdr:colOff>
          <xdr:row>24</xdr:row>
          <xdr:rowOff>19050</xdr:rowOff>
        </xdr:from>
        <xdr:to>
          <xdr:col>3</xdr:col>
          <xdr:colOff>104775</xdr:colOff>
          <xdr:row>26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</xdr:row>
      <xdr:rowOff>47625</xdr:rowOff>
    </xdr:from>
    <xdr:to>
      <xdr:col>11</xdr:col>
      <xdr:colOff>257175</xdr:colOff>
      <xdr:row>4</xdr:row>
      <xdr:rowOff>133350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209550"/>
          <a:ext cx="1962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8</xdr:row>
      <xdr:rowOff>0</xdr:rowOff>
    </xdr:from>
    <xdr:to>
      <xdr:col>6</xdr:col>
      <xdr:colOff>19050</xdr:colOff>
      <xdr:row>11</xdr:row>
      <xdr:rowOff>57150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38350" y="12954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581025</xdr:colOff>
      <xdr:row>4</xdr:row>
      <xdr:rowOff>38100</xdr:rowOff>
    </xdr:from>
    <xdr:to>
      <xdr:col>9</xdr:col>
      <xdr:colOff>390525</xdr:colOff>
      <xdr:row>5</xdr:row>
      <xdr:rowOff>76200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48225" y="685800"/>
          <a:ext cx="1028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18</xdr:row>
      <xdr:rowOff>123825</xdr:rowOff>
    </xdr:from>
    <xdr:to>
      <xdr:col>8</xdr:col>
      <xdr:colOff>581025</xdr:colOff>
      <xdr:row>22</xdr:row>
      <xdr:rowOff>19050</xdr:rowOff>
    </xdr:to>
    <xdr:pic>
      <xdr:nvPicPr>
        <xdr:cNvPr id="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0" y="3038475"/>
          <a:ext cx="4124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9525</xdr:rowOff>
        </xdr:from>
        <xdr:to>
          <xdr:col>4</xdr:col>
          <xdr:colOff>676275</xdr:colOff>
          <xdr:row>12</xdr:row>
          <xdr:rowOff>76200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952500</xdr:colOff>
          <xdr:row>16</xdr:row>
          <xdr:rowOff>66675</xdr:rowOff>
        </xdr:from>
        <xdr:to>
          <xdr:col>5</xdr:col>
          <xdr:colOff>619125</xdr:colOff>
          <xdr:row>21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12</xdr:row>
          <xdr:rowOff>142875</xdr:rowOff>
        </xdr:from>
        <xdr:to>
          <xdr:col>9</xdr:col>
          <xdr:colOff>428625</xdr:colOff>
          <xdr:row>16</xdr:row>
          <xdr:rowOff>19050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981075</xdr:colOff>
          <xdr:row>21</xdr:row>
          <xdr:rowOff>133350</xdr:rowOff>
        </xdr:from>
        <xdr:to>
          <xdr:col>3</xdr:col>
          <xdr:colOff>419100</xdr:colOff>
          <xdr:row>23</xdr:row>
          <xdr:rowOff>85725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47625</xdr:rowOff>
    </xdr:from>
    <xdr:to>
      <xdr:col>9</xdr:col>
      <xdr:colOff>457200</xdr:colOff>
      <xdr:row>5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695325"/>
          <a:ext cx="1009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4</xdr:col>
          <xdr:colOff>504825</xdr:colOff>
          <xdr:row>29</xdr:row>
          <xdr:rowOff>85725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30</xdr:row>
          <xdr:rowOff>85725</xdr:rowOff>
        </xdr:from>
        <xdr:to>
          <xdr:col>4</xdr:col>
          <xdr:colOff>304800</xdr:colOff>
          <xdr:row>32</xdr:row>
          <xdr:rowOff>142875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400050</xdr:colOff>
          <xdr:row>35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28575</xdr:rowOff>
        </xdr:from>
        <xdr:to>
          <xdr:col>4</xdr:col>
          <xdr:colOff>0</xdr:colOff>
          <xdr:row>26</xdr:row>
          <xdr:rowOff>47625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1</xdr:row>
          <xdr:rowOff>0</xdr:rowOff>
        </xdr:from>
        <xdr:to>
          <xdr:col>11</xdr:col>
          <xdr:colOff>371475</xdr:colOff>
          <xdr:row>4</xdr:row>
          <xdr:rowOff>114300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</xdr:row>
          <xdr:rowOff>76200</xdr:rowOff>
        </xdr:from>
        <xdr:to>
          <xdr:col>6</xdr:col>
          <xdr:colOff>504825</xdr:colOff>
          <xdr:row>24</xdr:row>
          <xdr:rowOff>114300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12</xdr:row>
          <xdr:rowOff>152400</xdr:rowOff>
        </xdr:from>
        <xdr:to>
          <xdr:col>5</xdr:col>
          <xdr:colOff>323850</xdr:colOff>
          <xdr:row>16</xdr:row>
          <xdr:rowOff>85725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895350</xdr:colOff>
          <xdr:row>23</xdr:row>
          <xdr:rowOff>28575</xdr:rowOff>
        </xdr:from>
        <xdr:to>
          <xdr:col>4</xdr:col>
          <xdr:colOff>371475</xdr:colOff>
          <xdr:row>25</xdr:row>
          <xdr:rowOff>76200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17</xdr:row>
          <xdr:rowOff>0</xdr:rowOff>
        </xdr:from>
        <xdr:to>
          <xdr:col>5</xdr:col>
          <xdr:colOff>180975</xdr:colOff>
          <xdr:row>22</xdr:row>
          <xdr:rowOff>76200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358717</xdr:colOff>
      <xdr:row>11</xdr:row>
      <xdr:rowOff>129886</xdr:rowOff>
    </xdr:from>
    <xdr:to>
      <xdr:col>5</xdr:col>
      <xdr:colOff>451267</xdr:colOff>
      <xdr:row>14</xdr:row>
      <xdr:rowOff>103909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8717" y="1911061"/>
          <a:ext cx="3140550" cy="45979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1314450</xdr:colOff>
          <xdr:row>25</xdr:row>
          <xdr:rowOff>57150</xdr:rowOff>
        </xdr:from>
        <xdr:to>
          <xdr:col>1</xdr:col>
          <xdr:colOff>819150</xdr:colOff>
          <xdr:row>27</xdr:row>
          <xdr:rowOff>66675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1019175</xdr:colOff>
          <xdr:row>15</xdr:row>
          <xdr:rowOff>9525</xdr:rowOff>
        </xdr:from>
        <xdr:to>
          <xdr:col>2</xdr:col>
          <xdr:colOff>781050</xdr:colOff>
          <xdr:row>17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971550</xdr:colOff>
          <xdr:row>17</xdr:row>
          <xdr:rowOff>152400</xdr:rowOff>
        </xdr:from>
        <xdr:to>
          <xdr:col>2</xdr:col>
          <xdr:colOff>0</xdr:colOff>
          <xdr:row>24</xdr:row>
          <xdr:rowOff>57150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381000</xdr:colOff>
          <xdr:row>10</xdr:row>
          <xdr:rowOff>28575</xdr:rowOff>
        </xdr:from>
        <xdr:to>
          <xdr:col>4</xdr:col>
          <xdr:colOff>666750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17</xdr:row>
          <xdr:rowOff>104775</xdr:rowOff>
        </xdr:from>
        <xdr:to>
          <xdr:col>3</xdr:col>
          <xdr:colOff>28575</xdr:colOff>
          <xdr:row>19</xdr:row>
          <xdr:rowOff>9525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561975</xdr:colOff>
          <xdr:row>12</xdr:row>
          <xdr:rowOff>133350</xdr:rowOff>
        </xdr:from>
        <xdr:to>
          <xdr:col>4</xdr:col>
          <xdr:colOff>561975</xdr:colOff>
          <xdr:row>17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25.w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24.wmf"/><Relationship Id="rId4" Type="http://schemas.openxmlformats.org/officeDocument/2006/relationships/oleObject" Target="../embeddings/oleObject17.bin"/><Relationship Id="rId9" Type="http://schemas.openxmlformats.org/officeDocument/2006/relationships/image" Target="../media/image26.w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29.w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28.wmf"/><Relationship Id="rId4" Type="http://schemas.openxmlformats.org/officeDocument/2006/relationships/oleObject" Target="../embeddings/oleObject20.bin"/><Relationship Id="rId9" Type="http://schemas.openxmlformats.org/officeDocument/2006/relationships/image" Target="../media/image30.w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w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2.w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1.wmf"/><Relationship Id="rId4" Type="http://schemas.openxmlformats.org/officeDocument/2006/relationships/oleObject" Target="../embeddings/oleObject5.bin"/><Relationship Id="rId9" Type="http://schemas.openxmlformats.org/officeDocument/2006/relationships/image" Target="../media/image13.w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13" Type="http://schemas.openxmlformats.org/officeDocument/2006/relationships/image" Target="../media/image18.wmf"/><Relationship Id="rId3" Type="http://schemas.openxmlformats.org/officeDocument/2006/relationships/vmlDrawing" Target="../drawings/vmlDrawing5.vml"/><Relationship Id="rId7" Type="http://schemas.openxmlformats.org/officeDocument/2006/relationships/image" Target="../media/image15.emf"/><Relationship Id="rId12" Type="http://schemas.openxmlformats.org/officeDocument/2006/relationships/oleObject" Target="../embeddings/oleObject12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11" Type="http://schemas.openxmlformats.org/officeDocument/2006/relationships/image" Target="../media/image17.emf"/><Relationship Id="rId5" Type="http://schemas.openxmlformats.org/officeDocument/2006/relationships/image" Target="../media/image14.emf"/><Relationship Id="rId15" Type="http://schemas.openxmlformats.org/officeDocument/2006/relationships/image" Target="../media/image19.wmf"/><Relationship Id="rId10" Type="http://schemas.openxmlformats.org/officeDocument/2006/relationships/oleObject" Target="../embeddings/oleObject11.bin"/><Relationship Id="rId4" Type="http://schemas.openxmlformats.org/officeDocument/2006/relationships/oleObject" Target="../embeddings/oleObject8.bin"/><Relationship Id="rId9" Type="http://schemas.openxmlformats.org/officeDocument/2006/relationships/image" Target="../media/image16.emf"/><Relationship Id="rId14" Type="http://schemas.openxmlformats.org/officeDocument/2006/relationships/oleObject" Target="../embeddings/oleObject1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22.w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21.wmf"/><Relationship Id="rId4" Type="http://schemas.openxmlformats.org/officeDocument/2006/relationships/oleObject" Target="../embeddings/oleObject14.bin"/><Relationship Id="rId9" Type="http://schemas.openxmlformats.org/officeDocument/2006/relationships/image" Target="../media/image23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S12"/>
  <sheetViews>
    <sheetView workbookViewId="0"/>
  </sheetViews>
  <sheetFormatPr defaultRowHeight="12.75" x14ac:dyDescent="0.2"/>
  <cols>
    <col min="1" max="1" width="9.140625" style="2"/>
    <col min="2" max="2" width="17.85546875" style="1" customWidth="1"/>
    <col min="3" max="3" width="8.42578125" style="1" customWidth="1"/>
    <col min="4" max="4" width="6.5703125" style="1" customWidth="1"/>
    <col min="5" max="5" width="9.140625" style="1"/>
    <col min="6" max="6" width="15.140625" style="1" customWidth="1"/>
    <col min="7" max="16384" width="9.140625" style="1"/>
  </cols>
  <sheetData>
    <row r="1" spans="1:19" s="2" customFormat="1" ht="18" x14ac:dyDescent="0.25">
      <c r="B1" s="7" t="s">
        <v>22</v>
      </c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1"/>
      <c r="B3" s="6" t="s">
        <v>21</v>
      </c>
      <c r="C3" s="6" t="s">
        <v>20</v>
      </c>
      <c r="D3" s="6" t="s">
        <v>19</v>
      </c>
      <c r="E3" s="2"/>
      <c r="F3" s="6" t="s">
        <v>18</v>
      </c>
      <c r="G3" s="6" t="s">
        <v>17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1"/>
      <c r="B4" s="6" t="s">
        <v>16</v>
      </c>
      <c r="C4" s="4" t="s">
        <v>15</v>
      </c>
      <c r="D4" s="5">
        <v>40</v>
      </c>
      <c r="F4" s="4" t="s">
        <v>14</v>
      </c>
      <c r="G4" s="1">
        <f>((LN(D4/D5))+(D6+0.5*D7^2)*D8)/(D7*D8^0.5)</f>
        <v>1.4757282898071233</v>
      </c>
    </row>
    <row r="5" spans="1:19" x14ac:dyDescent="0.2">
      <c r="A5" s="1"/>
      <c r="B5" s="6" t="s">
        <v>13</v>
      </c>
      <c r="C5" s="4" t="s">
        <v>12</v>
      </c>
      <c r="D5" s="5">
        <v>30</v>
      </c>
      <c r="F5" s="4" t="s">
        <v>11</v>
      </c>
      <c r="G5" s="1">
        <f>G4-D7*D8^0.5</f>
        <v>1.2257282898071233</v>
      </c>
    </row>
    <row r="6" spans="1:19" x14ac:dyDescent="0.2">
      <c r="A6" s="1"/>
      <c r="B6" s="6" t="s">
        <v>10</v>
      </c>
      <c r="C6" s="4" t="s">
        <v>9</v>
      </c>
      <c r="D6" s="5">
        <v>0.05</v>
      </c>
      <c r="F6" s="4" t="s">
        <v>8</v>
      </c>
      <c r="G6" s="1">
        <f>NORMDIST(G4,0,1,1)</f>
        <v>0.92999157585964298</v>
      </c>
    </row>
    <row r="7" spans="1:19" x14ac:dyDescent="0.2">
      <c r="A7" s="1"/>
      <c r="B7" s="6" t="s">
        <v>7</v>
      </c>
      <c r="C7" s="4" t="s">
        <v>6</v>
      </c>
      <c r="D7" s="5">
        <v>0.25</v>
      </c>
      <c r="F7" s="4" t="s">
        <v>5</v>
      </c>
      <c r="G7" s="1">
        <f>NORMDIST(G5,0,1,1)</f>
        <v>0.88984952969063391</v>
      </c>
    </row>
    <row r="8" spans="1:19" x14ac:dyDescent="0.2">
      <c r="A8" s="1"/>
      <c r="B8" s="6" t="s">
        <v>4</v>
      </c>
      <c r="C8" s="4" t="s">
        <v>3</v>
      </c>
      <c r="D8" s="5">
        <v>1</v>
      </c>
      <c r="F8" s="4" t="s">
        <v>2</v>
      </c>
      <c r="G8" s="1">
        <f>D4*G6-D5*2.7182818^(-D6*D8)*G7</f>
        <v>11.806131340497263</v>
      </c>
    </row>
    <row r="9" spans="1:19" x14ac:dyDescent="0.2">
      <c r="A9" s="1"/>
      <c r="F9" s="4" t="s">
        <v>1</v>
      </c>
      <c r="G9" s="1">
        <f>G8+D5*EXP(-D6*D8)-D4</f>
        <v>0.34301407551868124</v>
      </c>
    </row>
    <row r="12" spans="1:19" ht="15.75" x14ac:dyDescent="0.25">
      <c r="A12" s="1"/>
      <c r="B12" s="3" t="s">
        <v>0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G10"/>
  <sheetViews>
    <sheetView zoomScale="110" zoomScaleNormal="110" workbookViewId="0">
      <selection activeCell="A2" sqref="A2"/>
    </sheetView>
  </sheetViews>
  <sheetFormatPr defaultColWidth="9.140625" defaultRowHeight="12.75" x14ac:dyDescent="0.2"/>
  <cols>
    <col min="1" max="1" width="28.42578125" style="8" customWidth="1"/>
    <col min="2" max="2" width="16.42578125" style="8" customWidth="1"/>
    <col min="3" max="3" width="14.5703125" style="8" customWidth="1"/>
    <col min="4" max="4" width="2.42578125" style="8" customWidth="1"/>
    <col min="5" max="5" width="13.140625" style="8" customWidth="1"/>
    <col min="6" max="6" width="18.85546875" style="8" customWidth="1"/>
    <col min="7" max="7" width="12.7109375" style="8" customWidth="1"/>
    <col min="8" max="255" width="9.140625" style="8"/>
    <col min="256" max="256" width="9.140625" style="8" customWidth="1"/>
    <col min="257" max="257" width="29" style="8" customWidth="1"/>
    <col min="258" max="258" width="16" style="8" customWidth="1"/>
    <col min="259" max="259" width="14.5703125" style="8" customWidth="1"/>
    <col min="260" max="260" width="2.42578125" style="8" customWidth="1"/>
    <col min="261" max="261" width="13.140625" style="8" customWidth="1"/>
    <col min="262" max="262" width="18.85546875" style="8" customWidth="1"/>
    <col min="263" max="263" width="12.7109375" style="8" customWidth="1"/>
    <col min="264" max="511" width="9.140625" style="8"/>
    <col min="512" max="512" width="9.140625" style="8" customWidth="1"/>
    <col min="513" max="513" width="29" style="8" customWidth="1"/>
    <col min="514" max="514" width="16" style="8" customWidth="1"/>
    <col min="515" max="515" width="14.5703125" style="8" customWidth="1"/>
    <col min="516" max="516" width="2.42578125" style="8" customWidth="1"/>
    <col min="517" max="517" width="13.140625" style="8" customWidth="1"/>
    <col min="518" max="518" width="18.85546875" style="8" customWidth="1"/>
    <col min="519" max="519" width="12.7109375" style="8" customWidth="1"/>
    <col min="520" max="767" width="9.140625" style="8"/>
    <col min="768" max="768" width="9.140625" style="8" customWidth="1"/>
    <col min="769" max="769" width="29" style="8" customWidth="1"/>
    <col min="770" max="770" width="16" style="8" customWidth="1"/>
    <col min="771" max="771" width="14.5703125" style="8" customWidth="1"/>
    <col min="772" max="772" width="2.42578125" style="8" customWidth="1"/>
    <col min="773" max="773" width="13.140625" style="8" customWidth="1"/>
    <col min="774" max="774" width="18.85546875" style="8" customWidth="1"/>
    <col min="775" max="775" width="12.7109375" style="8" customWidth="1"/>
    <col min="776" max="1023" width="9.140625" style="8"/>
    <col min="1024" max="1024" width="9.140625" style="8" customWidth="1"/>
    <col min="1025" max="1025" width="29" style="8" customWidth="1"/>
    <col min="1026" max="1026" width="16" style="8" customWidth="1"/>
    <col min="1027" max="1027" width="14.5703125" style="8" customWidth="1"/>
    <col min="1028" max="1028" width="2.42578125" style="8" customWidth="1"/>
    <col min="1029" max="1029" width="13.140625" style="8" customWidth="1"/>
    <col min="1030" max="1030" width="18.85546875" style="8" customWidth="1"/>
    <col min="1031" max="1031" width="12.7109375" style="8" customWidth="1"/>
    <col min="1032" max="1279" width="9.140625" style="8"/>
    <col min="1280" max="1280" width="9.140625" style="8" customWidth="1"/>
    <col min="1281" max="1281" width="29" style="8" customWidth="1"/>
    <col min="1282" max="1282" width="16" style="8" customWidth="1"/>
    <col min="1283" max="1283" width="14.5703125" style="8" customWidth="1"/>
    <col min="1284" max="1284" width="2.42578125" style="8" customWidth="1"/>
    <col min="1285" max="1285" width="13.140625" style="8" customWidth="1"/>
    <col min="1286" max="1286" width="18.85546875" style="8" customWidth="1"/>
    <col min="1287" max="1287" width="12.7109375" style="8" customWidth="1"/>
    <col min="1288" max="1535" width="9.140625" style="8"/>
    <col min="1536" max="1536" width="9.140625" style="8" customWidth="1"/>
    <col min="1537" max="1537" width="29" style="8" customWidth="1"/>
    <col min="1538" max="1538" width="16" style="8" customWidth="1"/>
    <col min="1539" max="1539" width="14.5703125" style="8" customWidth="1"/>
    <col min="1540" max="1540" width="2.42578125" style="8" customWidth="1"/>
    <col min="1541" max="1541" width="13.140625" style="8" customWidth="1"/>
    <col min="1542" max="1542" width="18.85546875" style="8" customWidth="1"/>
    <col min="1543" max="1543" width="12.7109375" style="8" customWidth="1"/>
    <col min="1544" max="1791" width="9.140625" style="8"/>
    <col min="1792" max="1792" width="9.140625" style="8" customWidth="1"/>
    <col min="1793" max="1793" width="29" style="8" customWidth="1"/>
    <col min="1794" max="1794" width="16" style="8" customWidth="1"/>
    <col min="1795" max="1795" width="14.5703125" style="8" customWidth="1"/>
    <col min="1796" max="1796" width="2.42578125" style="8" customWidth="1"/>
    <col min="1797" max="1797" width="13.140625" style="8" customWidth="1"/>
    <col min="1798" max="1798" width="18.85546875" style="8" customWidth="1"/>
    <col min="1799" max="1799" width="12.7109375" style="8" customWidth="1"/>
    <col min="1800" max="2047" width="9.140625" style="8"/>
    <col min="2048" max="2048" width="9.140625" style="8" customWidth="1"/>
    <col min="2049" max="2049" width="29" style="8" customWidth="1"/>
    <col min="2050" max="2050" width="16" style="8" customWidth="1"/>
    <col min="2051" max="2051" width="14.5703125" style="8" customWidth="1"/>
    <col min="2052" max="2052" width="2.42578125" style="8" customWidth="1"/>
    <col min="2053" max="2053" width="13.140625" style="8" customWidth="1"/>
    <col min="2054" max="2054" width="18.85546875" style="8" customWidth="1"/>
    <col min="2055" max="2055" width="12.7109375" style="8" customWidth="1"/>
    <col min="2056" max="2303" width="9.140625" style="8"/>
    <col min="2304" max="2304" width="9.140625" style="8" customWidth="1"/>
    <col min="2305" max="2305" width="29" style="8" customWidth="1"/>
    <col min="2306" max="2306" width="16" style="8" customWidth="1"/>
    <col min="2307" max="2307" width="14.5703125" style="8" customWidth="1"/>
    <col min="2308" max="2308" width="2.42578125" style="8" customWidth="1"/>
    <col min="2309" max="2309" width="13.140625" style="8" customWidth="1"/>
    <col min="2310" max="2310" width="18.85546875" style="8" customWidth="1"/>
    <col min="2311" max="2311" width="12.7109375" style="8" customWidth="1"/>
    <col min="2312" max="2559" width="9.140625" style="8"/>
    <col min="2560" max="2560" width="9.140625" style="8" customWidth="1"/>
    <col min="2561" max="2561" width="29" style="8" customWidth="1"/>
    <col min="2562" max="2562" width="16" style="8" customWidth="1"/>
    <col min="2563" max="2563" width="14.5703125" style="8" customWidth="1"/>
    <col min="2564" max="2564" width="2.42578125" style="8" customWidth="1"/>
    <col min="2565" max="2565" width="13.140625" style="8" customWidth="1"/>
    <col min="2566" max="2566" width="18.85546875" style="8" customWidth="1"/>
    <col min="2567" max="2567" width="12.7109375" style="8" customWidth="1"/>
    <col min="2568" max="2815" width="9.140625" style="8"/>
    <col min="2816" max="2816" width="9.140625" style="8" customWidth="1"/>
    <col min="2817" max="2817" width="29" style="8" customWidth="1"/>
    <col min="2818" max="2818" width="16" style="8" customWidth="1"/>
    <col min="2819" max="2819" width="14.5703125" style="8" customWidth="1"/>
    <col min="2820" max="2820" width="2.42578125" style="8" customWidth="1"/>
    <col min="2821" max="2821" width="13.140625" style="8" customWidth="1"/>
    <col min="2822" max="2822" width="18.85546875" style="8" customWidth="1"/>
    <col min="2823" max="2823" width="12.7109375" style="8" customWidth="1"/>
    <col min="2824" max="3071" width="9.140625" style="8"/>
    <col min="3072" max="3072" width="9.140625" style="8" customWidth="1"/>
    <col min="3073" max="3073" width="29" style="8" customWidth="1"/>
    <col min="3074" max="3074" width="16" style="8" customWidth="1"/>
    <col min="3075" max="3075" width="14.5703125" style="8" customWidth="1"/>
    <col min="3076" max="3076" width="2.42578125" style="8" customWidth="1"/>
    <col min="3077" max="3077" width="13.140625" style="8" customWidth="1"/>
    <col min="3078" max="3078" width="18.85546875" style="8" customWidth="1"/>
    <col min="3079" max="3079" width="12.7109375" style="8" customWidth="1"/>
    <col min="3080" max="3327" width="9.140625" style="8"/>
    <col min="3328" max="3328" width="9.140625" style="8" customWidth="1"/>
    <col min="3329" max="3329" width="29" style="8" customWidth="1"/>
    <col min="3330" max="3330" width="16" style="8" customWidth="1"/>
    <col min="3331" max="3331" width="14.5703125" style="8" customWidth="1"/>
    <col min="3332" max="3332" width="2.42578125" style="8" customWidth="1"/>
    <col min="3333" max="3333" width="13.140625" style="8" customWidth="1"/>
    <col min="3334" max="3334" width="18.85546875" style="8" customWidth="1"/>
    <col min="3335" max="3335" width="12.7109375" style="8" customWidth="1"/>
    <col min="3336" max="3583" width="9.140625" style="8"/>
    <col min="3584" max="3584" width="9.140625" style="8" customWidth="1"/>
    <col min="3585" max="3585" width="29" style="8" customWidth="1"/>
    <col min="3586" max="3586" width="16" style="8" customWidth="1"/>
    <col min="3587" max="3587" width="14.5703125" style="8" customWidth="1"/>
    <col min="3588" max="3588" width="2.42578125" style="8" customWidth="1"/>
    <col min="3589" max="3589" width="13.140625" style="8" customWidth="1"/>
    <col min="3590" max="3590" width="18.85546875" style="8" customWidth="1"/>
    <col min="3591" max="3591" width="12.7109375" style="8" customWidth="1"/>
    <col min="3592" max="3839" width="9.140625" style="8"/>
    <col min="3840" max="3840" width="9.140625" style="8" customWidth="1"/>
    <col min="3841" max="3841" width="29" style="8" customWidth="1"/>
    <col min="3842" max="3842" width="16" style="8" customWidth="1"/>
    <col min="3843" max="3843" width="14.5703125" style="8" customWidth="1"/>
    <col min="3844" max="3844" width="2.42578125" style="8" customWidth="1"/>
    <col min="3845" max="3845" width="13.140625" style="8" customWidth="1"/>
    <col min="3846" max="3846" width="18.85546875" style="8" customWidth="1"/>
    <col min="3847" max="3847" width="12.7109375" style="8" customWidth="1"/>
    <col min="3848" max="4095" width="9.140625" style="8"/>
    <col min="4096" max="4096" width="9.140625" style="8" customWidth="1"/>
    <col min="4097" max="4097" width="29" style="8" customWidth="1"/>
    <col min="4098" max="4098" width="16" style="8" customWidth="1"/>
    <col min="4099" max="4099" width="14.5703125" style="8" customWidth="1"/>
    <col min="4100" max="4100" width="2.42578125" style="8" customWidth="1"/>
    <col min="4101" max="4101" width="13.140625" style="8" customWidth="1"/>
    <col min="4102" max="4102" width="18.85546875" style="8" customWidth="1"/>
    <col min="4103" max="4103" width="12.7109375" style="8" customWidth="1"/>
    <col min="4104" max="4351" width="9.140625" style="8"/>
    <col min="4352" max="4352" width="9.140625" style="8" customWidth="1"/>
    <col min="4353" max="4353" width="29" style="8" customWidth="1"/>
    <col min="4354" max="4354" width="16" style="8" customWidth="1"/>
    <col min="4355" max="4355" width="14.5703125" style="8" customWidth="1"/>
    <col min="4356" max="4356" width="2.42578125" style="8" customWidth="1"/>
    <col min="4357" max="4357" width="13.140625" style="8" customWidth="1"/>
    <col min="4358" max="4358" width="18.85546875" style="8" customWidth="1"/>
    <col min="4359" max="4359" width="12.7109375" style="8" customWidth="1"/>
    <col min="4360" max="4607" width="9.140625" style="8"/>
    <col min="4608" max="4608" width="9.140625" style="8" customWidth="1"/>
    <col min="4609" max="4609" width="29" style="8" customWidth="1"/>
    <col min="4610" max="4610" width="16" style="8" customWidth="1"/>
    <col min="4611" max="4611" width="14.5703125" style="8" customWidth="1"/>
    <col min="4612" max="4612" width="2.42578125" style="8" customWidth="1"/>
    <col min="4613" max="4613" width="13.140625" style="8" customWidth="1"/>
    <col min="4614" max="4614" width="18.85546875" style="8" customWidth="1"/>
    <col min="4615" max="4615" width="12.7109375" style="8" customWidth="1"/>
    <col min="4616" max="4863" width="9.140625" style="8"/>
    <col min="4864" max="4864" width="9.140625" style="8" customWidth="1"/>
    <col min="4865" max="4865" width="29" style="8" customWidth="1"/>
    <col min="4866" max="4866" width="16" style="8" customWidth="1"/>
    <col min="4867" max="4867" width="14.5703125" style="8" customWidth="1"/>
    <col min="4868" max="4868" width="2.42578125" style="8" customWidth="1"/>
    <col min="4869" max="4869" width="13.140625" style="8" customWidth="1"/>
    <col min="4870" max="4870" width="18.85546875" style="8" customWidth="1"/>
    <col min="4871" max="4871" width="12.7109375" style="8" customWidth="1"/>
    <col min="4872" max="5119" width="9.140625" style="8"/>
    <col min="5120" max="5120" width="9.140625" style="8" customWidth="1"/>
    <col min="5121" max="5121" width="29" style="8" customWidth="1"/>
    <col min="5122" max="5122" width="16" style="8" customWidth="1"/>
    <col min="5123" max="5123" width="14.5703125" style="8" customWidth="1"/>
    <col min="5124" max="5124" width="2.42578125" style="8" customWidth="1"/>
    <col min="5125" max="5125" width="13.140625" style="8" customWidth="1"/>
    <col min="5126" max="5126" width="18.85546875" style="8" customWidth="1"/>
    <col min="5127" max="5127" width="12.7109375" style="8" customWidth="1"/>
    <col min="5128" max="5375" width="9.140625" style="8"/>
    <col min="5376" max="5376" width="9.140625" style="8" customWidth="1"/>
    <col min="5377" max="5377" width="29" style="8" customWidth="1"/>
    <col min="5378" max="5378" width="16" style="8" customWidth="1"/>
    <col min="5379" max="5379" width="14.5703125" style="8" customWidth="1"/>
    <col min="5380" max="5380" width="2.42578125" style="8" customWidth="1"/>
    <col min="5381" max="5381" width="13.140625" style="8" customWidth="1"/>
    <col min="5382" max="5382" width="18.85546875" style="8" customWidth="1"/>
    <col min="5383" max="5383" width="12.7109375" style="8" customWidth="1"/>
    <col min="5384" max="5631" width="9.140625" style="8"/>
    <col min="5632" max="5632" width="9.140625" style="8" customWidth="1"/>
    <col min="5633" max="5633" width="29" style="8" customWidth="1"/>
    <col min="5634" max="5634" width="16" style="8" customWidth="1"/>
    <col min="5635" max="5635" width="14.5703125" style="8" customWidth="1"/>
    <col min="5636" max="5636" width="2.42578125" style="8" customWidth="1"/>
    <col min="5637" max="5637" width="13.140625" style="8" customWidth="1"/>
    <col min="5638" max="5638" width="18.85546875" style="8" customWidth="1"/>
    <col min="5639" max="5639" width="12.7109375" style="8" customWidth="1"/>
    <col min="5640" max="5887" width="9.140625" style="8"/>
    <col min="5888" max="5888" width="9.140625" style="8" customWidth="1"/>
    <col min="5889" max="5889" width="29" style="8" customWidth="1"/>
    <col min="5890" max="5890" width="16" style="8" customWidth="1"/>
    <col min="5891" max="5891" width="14.5703125" style="8" customWidth="1"/>
    <col min="5892" max="5892" width="2.42578125" style="8" customWidth="1"/>
    <col min="5893" max="5893" width="13.140625" style="8" customWidth="1"/>
    <col min="5894" max="5894" width="18.85546875" style="8" customWidth="1"/>
    <col min="5895" max="5895" width="12.7109375" style="8" customWidth="1"/>
    <col min="5896" max="6143" width="9.140625" style="8"/>
    <col min="6144" max="6144" width="9.140625" style="8" customWidth="1"/>
    <col min="6145" max="6145" width="29" style="8" customWidth="1"/>
    <col min="6146" max="6146" width="16" style="8" customWidth="1"/>
    <col min="6147" max="6147" width="14.5703125" style="8" customWidth="1"/>
    <col min="6148" max="6148" width="2.42578125" style="8" customWidth="1"/>
    <col min="6149" max="6149" width="13.140625" style="8" customWidth="1"/>
    <col min="6150" max="6150" width="18.85546875" style="8" customWidth="1"/>
    <col min="6151" max="6151" width="12.7109375" style="8" customWidth="1"/>
    <col min="6152" max="6399" width="9.140625" style="8"/>
    <col min="6400" max="6400" width="9.140625" style="8" customWidth="1"/>
    <col min="6401" max="6401" width="29" style="8" customWidth="1"/>
    <col min="6402" max="6402" width="16" style="8" customWidth="1"/>
    <col min="6403" max="6403" width="14.5703125" style="8" customWidth="1"/>
    <col min="6404" max="6404" width="2.42578125" style="8" customWidth="1"/>
    <col min="6405" max="6405" width="13.140625" style="8" customWidth="1"/>
    <col min="6406" max="6406" width="18.85546875" style="8" customWidth="1"/>
    <col min="6407" max="6407" width="12.7109375" style="8" customWidth="1"/>
    <col min="6408" max="6655" width="9.140625" style="8"/>
    <col min="6656" max="6656" width="9.140625" style="8" customWidth="1"/>
    <col min="6657" max="6657" width="29" style="8" customWidth="1"/>
    <col min="6658" max="6658" width="16" style="8" customWidth="1"/>
    <col min="6659" max="6659" width="14.5703125" style="8" customWidth="1"/>
    <col min="6660" max="6660" width="2.42578125" style="8" customWidth="1"/>
    <col min="6661" max="6661" width="13.140625" style="8" customWidth="1"/>
    <col min="6662" max="6662" width="18.85546875" style="8" customWidth="1"/>
    <col min="6663" max="6663" width="12.7109375" style="8" customWidth="1"/>
    <col min="6664" max="6911" width="9.140625" style="8"/>
    <col min="6912" max="6912" width="9.140625" style="8" customWidth="1"/>
    <col min="6913" max="6913" width="29" style="8" customWidth="1"/>
    <col min="6914" max="6914" width="16" style="8" customWidth="1"/>
    <col min="6915" max="6915" width="14.5703125" style="8" customWidth="1"/>
    <col min="6916" max="6916" width="2.42578125" style="8" customWidth="1"/>
    <col min="6917" max="6917" width="13.140625" style="8" customWidth="1"/>
    <col min="6918" max="6918" width="18.85546875" style="8" customWidth="1"/>
    <col min="6919" max="6919" width="12.7109375" style="8" customWidth="1"/>
    <col min="6920" max="7167" width="9.140625" style="8"/>
    <col min="7168" max="7168" width="9.140625" style="8" customWidth="1"/>
    <col min="7169" max="7169" width="29" style="8" customWidth="1"/>
    <col min="7170" max="7170" width="16" style="8" customWidth="1"/>
    <col min="7171" max="7171" width="14.5703125" style="8" customWidth="1"/>
    <col min="7172" max="7172" width="2.42578125" style="8" customWidth="1"/>
    <col min="7173" max="7173" width="13.140625" style="8" customWidth="1"/>
    <col min="7174" max="7174" width="18.85546875" style="8" customWidth="1"/>
    <col min="7175" max="7175" width="12.7109375" style="8" customWidth="1"/>
    <col min="7176" max="7423" width="9.140625" style="8"/>
    <col min="7424" max="7424" width="9.140625" style="8" customWidth="1"/>
    <col min="7425" max="7425" width="29" style="8" customWidth="1"/>
    <col min="7426" max="7426" width="16" style="8" customWidth="1"/>
    <col min="7427" max="7427" width="14.5703125" style="8" customWidth="1"/>
    <col min="7428" max="7428" width="2.42578125" style="8" customWidth="1"/>
    <col min="7429" max="7429" width="13.140625" style="8" customWidth="1"/>
    <col min="7430" max="7430" width="18.85546875" style="8" customWidth="1"/>
    <col min="7431" max="7431" width="12.7109375" style="8" customWidth="1"/>
    <col min="7432" max="7679" width="9.140625" style="8"/>
    <col min="7680" max="7680" width="9.140625" style="8" customWidth="1"/>
    <col min="7681" max="7681" width="29" style="8" customWidth="1"/>
    <col min="7682" max="7682" width="16" style="8" customWidth="1"/>
    <col min="7683" max="7683" width="14.5703125" style="8" customWidth="1"/>
    <col min="7684" max="7684" width="2.42578125" style="8" customWidth="1"/>
    <col min="7685" max="7685" width="13.140625" style="8" customWidth="1"/>
    <col min="7686" max="7686" width="18.85546875" style="8" customWidth="1"/>
    <col min="7687" max="7687" width="12.7109375" style="8" customWidth="1"/>
    <col min="7688" max="7935" width="9.140625" style="8"/>
    <col min="7936" max="7936" width="9.140625" style="8" customWidth="1"/>
    <col min="7937" max="7937" width="29" style="8" customWidth="1"/>
    <col min="7938" max="7938" width="16" style="8" customWidth="1"/>
    <col min="7939" max="7939" width="14.5703125" style="8" customWidth="1"/>
    <col min="7940" max="7940" width="2.42578125" style="8" customWidth="1"/>
    <col min="7941" max="7941" width="13.140625" style="8" customWidth="1"/>
    <col min="7942" max="7942" width="18.85546875" style="8" customWidth="1"/>
    <col min="7943" max="7943" width="12.7109375" style="8" customWidth="1"/>
    <col min="7944" max="8191" width="9.140625" style="8"/>
    <col min="8192" max="8192" width="9.140625" style="8" customWidth="1"/>
    <col min="8193" max="8193" width="29" style="8" customWidth="1"/>
    <col min="8194" max="8194" width="16" style="8" customWidth="1"/>
    <col min="8195" max="8195" width="14.5703125" style="8" customWidth="1"/>
    <col min="8196" max="8196" width="2.42578125" style="8" customWidth="1"/>
    <col min="8197" max="8197" width="13.140625" style="8" customWidth="1"/>
    <col min="8198" max="8198" width="18.85546875" style="8" customWidth="1"/>
    <col min="8199" max="8199" width="12.7109375" style="8" customWidth="1"/>
    <col min="8200" max="8447" width="9.140625" style="8"/>
    <col min="8448" max="8448" width="9.140625" style="8" customWidth="1"/>
    <col min="8449" max="8449" width="29" style="8" customWidth="1"/>
    <col min="8450" max="8450" width="16" style="8" customWidth="1"/>
    <col min="8451" max="8451" width="14.5703125" style="8" customWidth="1"/>
    <col min="8452" max="8452" width="2.42578125" style="8" customWidth="1"/>
    <col min="8453" max="8453" width="13.140625" style="8" customWidth="1"/>
    <col min="8454" max="8454" width="18.85546875" style="8" customWidth="1"/>
    <col min="8455" max="8455" width="12.7109375" style="8" customWidth="1"/>
    <col min="8456" max="8703" width="9.140625" style="8"/>
    <col min="8704" max="8704" width="9.140625" style="8" customWidth="1"/>
    <col min="8705" max="8705" width="29" style="8" customWidth="1"/>
    <col min="8706" max="8706" width="16" style="8" customWidth="1"/>
    <col min="8707" max="8707" width="14.5703125" style="8" customWidth="1"/>
    <col min="8708" max="8708" width="2.42578125" style="8" customWidth="1"/>
    <col min="8709" max="8709" width="13.140625" style="8" customWidth="1"/>
    <col min="8710" max="8710" width="18.85546875" style="8" customWidth="1"/>
    <col min="8711" max="8711" width="12.7109375" style="8" customWidth="1"/>
    <col min="8712" max="8959" width="9.140625" style="8"/>
    <col min="8960" max="8960" width="9.140625" style="8" customWidth="1"/>
    <col min="8961" max="8961" width="29" style="8" customWidth="1"/>
    <col min="8962" max="8962" width="16" style="8" customWidth="1"/>
    <col min="8963" max="8963" width="14.5703125" style="8" customWidth="1"/>
    <col min="8964" max="8964" width="2.42578125" style="8" customWidth="1"/>
    <col min="8965" max="8965" width="13.140625" style="8" customWidth="1"/>
    <col min="8966" max="8966" width="18.85546875" style="8" customWidth="1"/>
    <col min="8967" max="8967" width="12.7109375" style="8" customWidth="1"/>
    <col min="8968" max="9215" width="9.140625" style="8"/>
    <col min="9216" max="9216" width="9.140625" style="8" customWidth="1"/>
    <col min="9217" max="9217" width="29" style="8" customWidth="1"/>
    <col min="9218" max="9218" width="16" style="8" customWidth="1"/>
    <col min="9219" max="9219" width="14.5703125" style="8" customWidth="1"/>
    <col min="9220" max="9220" width="2.42578125" style="8" customWidth="1"/>
    <col min="9221" max="9221" width="13.140625" style="8" customWidth="1"/>
    <col min="9222" max="9222" width="18.85546875" style="8" customWidth="1"/>
    <col min="9223" max="9223" width="12.7109375" style="8" customWidth="1"/>
    <col min="9224" max="9471" width="9.140625" style="8"/>
    <col min="9472" max="9472" width="9.140625" style="8" customWidth="1"/>
    <col min="9473" max="9473" width="29" style="8" customWidth="1"/>
    <col min="9474" max="9474" width="16" style="8" customWidth="1"/>
    <col min="9475" max="9475" width="14.5703125" style="8" customWidth="1"/>
    <col min="9476" max="9476" width="2.42578125" style="8" customWidth="1"/>
    <col min="9477" max="9477" width="13.140625" style="8" customWidth="1"/>
    <col min="9478" max="9478" width="18.85546875" style="8" customWidth="1"/>
    <col min="9479" max="9479" width="12.7109375" style="8" customWidth="1"/>
    <col min="9480" max="9727" width="9.140625" style="8"/>
    <col min="9728" max="9728" width="9.140625" style="8" customWidth="1"/>
    <col min="9729" max="9729" width="29" style="8" customWidth="1"/>
    <col min="9730" max="9730" width="16" style="8" customWidth="1"/>
    <col min="9731" max="9731" width="14.5703125" style="8" customWidth="1"/>
    <col min="9732" max="9732" width="2.42578125" style="8" customWidth="1"/>
    <col min="9733" max="9733" width="13.140625" style="8" customWidth="1"/>
    <col min="9734" max="9734" width="18.85546875" style="8" customWidth="1"/>
    <col min="9735" max="9735" width="12.7109375" style="8" customWidth="1"/>
    <col min="9736" max="9983" width="9.140625" style="8"/>
    <col min="9984" max="9984" width="9.140625" style="8" customWidth="1"/>
    <col min="9985" max="9985" width="29" style="8" customWidth="1"/>
    <col min="9986" max="9986" width="16" style="8" customWidth="1"/>
    <col min="9987" max="9987" width="14.5703125" style="8" customWidth="1"/>
    <col min="9988" max="9988" width="2.42578125" style="8" customWidth="1"/>
    <col min="9989" max="9989" width="13.140625" style="8" customWidth="1"/>
    <col min="9990" max="9990" width="18.85546875" style="8" customWidth="1"/>
    <col min="9991" max="9991" width="12.7109375" style="8" customWidth="1"/>
    <col min="9992" max="10239" width="9.140625" style="8"/>
    <col min="10240" max="10240" width="9.140625" style="8" customWidth="1"/>
    <col min="10241" max="10241" width="29" style="8" customWidth="1"/>
    <col min="10242" max="10242" width="16" style="8" customWidth="1"/>
    <col min="10243" max="10243" width="14.5703125" style="8" customWidth="1"/>
    <col min="10244" max="10244" width="2.42578125" style="8" customWidth="1"/>
    <col min="10245" max="10245" width="13.140625" style="8" customWidth="1"/>
    <col min="10246" max="10246" width="18.85546875" style="8" customWidth="1"/>
    <col min="10247" max="10247" width="12.7109375" style="8" customWidth="1"/>
    <col min="10248" max="10495" width="9.140625" style="8"/>
    <col min="10496" max="10496" width="9.140625" style="8" customWidth="1"/>
    <col min="10497" max="10497" width="29" style="8" customWidth="1"/>
    <col min="10498" max="10498" width="16" style="8" customWidth="1"/>
    <col min="10499" max="10499" width="14.5703125" style="8" customWidth="1"/>
    <col min="10500" max="10500" width="2.42578125" style="8" customWidth="1"/>
    <col min="10501" max="10501" width="13.140625" style="8" customWidth="1"/>
    <col min="10502" max="10502" width="18.85546875" style="8" customWidth="1"/>
    <col min="10503" max="10503" width="12.7109375" style="8" customWidth="1"/>
    <col min="10504" max="10751" width="9.140625" style="8"/>
    <col min="10752" max="10752" width="9.140625" style="8" customWidth="1"/>
    <col min="10753" max="10753" width="29" style="8" customWidth="1"/>
    <col min="10754" max="10754" width="16" style="8" customWidth="1"/>
    <col min="10755" max="10755" width="14.5703125" style="8" customWidth="1"/>
    <col min="10756" max="10756" width="2.42578125" style="8" customWidth="1"/>
    <col min="10757" max="10757" width="13.140625" style="8" customWidth="1"/>
    <col min="10758" max="10758" width="18.85546875" style="8" customWidth="1"/>
    <col min="10759" max="10759" width="12.7109375" style="8" customWidth="1"/>
    <col min="10760" max="11007" width="9.140625" style="8"/>
    <col min="11008" max="11008" width="9.140625" style="8" customWidth="1"/>
    <col min="11009" max="11009" width="29" style="8" customWidth="1"/>
    <col min="11010" max="11010" width="16" style="8" customWidth="1"/>
    <col min="11011" max="11011" width="14.5703125" style="8" customWidth="1"/>
    <col min="11012" max="11012" width="2.42578125" style="8" customWidth="1"/>
    <col min="11013" max="11013" width="13.140625" style="8" customWidth="1"/>
    <col min="11014" max="11014" width="18.85546875" style="8" customWidth="1"/>
    <col min="11015" max="11015" width="12.7109375" style="8" customWidth="1"/>
    <col min="11016" max="11263" width="9.140625" style="8"/>
    <col min="11264" max="11264" width="9.140625" style="8" customWidth="1"/>
    <col min="11265" max="11265" width="29" style="8" customWidth="1"/>
    <col min="11266" max="11266" width="16" style="8" customWidth="1"/>
    <col min="11267" max="11267" width="14.5703125" style="8" customWidth="1"/>
    <col min="11268" max="11268" width="2.42578125" style="8" customWidth="1"/>
    <col min="11269" max="11269" width="13.140625" style="8" customWidth="1"/>
    <col min="11270" max="11270" width="18.85546875" style="8" customWidth="1"/>
    <col min="11271" max="11271" width="12.7109375" style="8" customWidth="1"/>
    <col min="11272" max="11519" width="9.140625" style="8"/>
    <col min="11520" max="11520" width="9.140625" style="8" customWidth="1"/>
    <col min="11521" max="11521" width="29" style="8" customWidth="1"/>
    <col min="11522" max="11522" width="16" style="8" customWidth="1"/>
    <col min="11523" max="11523" width="14.5703125" style="8" customWidth="1"/>
    <col min="11524" max="11524" width="2.42578125" style="8" customWidth="1"/>
    <col min="11525" max="11525" width="13.140625" style="8" customWidth="1"/>
    <col min="11526" max="11526" width="18.85546875" style="8" customWidth="1"/>
    <col min="11527" max="11527" width="12.7109375" style="8" customWidth="1"/>
    <col min="11528" max="11775" width="9.140625" style="8"/>
    <col min="11776" max="11776" width="9.140625" style="8" customWidth="1"/>
    <col min="11777" max="11777" width="29" style="8" customWidth="1"/>
    <col min="11778" max="11778" width="16" style="8" customWidth="1"/>
    <col min="11779" max="11779" width="14.5703125" style="8" customWidth="1"/>
    <col min="11780" max="11780" width="2.42578125" style="8" customWidth="1"/>
    <col min="11781" max="11781" width="13.140625" style="8" customWidth="1"/>
    <col min="11782" max="11782" width="18.85546875" style="8" customWidth="1"/>
    <col min="11783" max="11783" width="12.7109375" style="8" customWidth="1"/>
    <col min="11784" max="12031" width="9.140625" style="8"/>
    <col min="12032" max="12032" width="9.140625" style="8" customWidth="1"/>
    <col min="12033" max="12033" width="29" style="8" customWidth="1"/>
    <col min="12034" max="12034" width="16" style="8" customWidth="1"/>
    <col min="12035" max="12035" width="14.5703125" style="8" customWidth="1"/>
    <col min="12036" max="12036" width="2.42578125" style="8" customWidth="1"/>
    <col min="12037" max="12037" width="13.140625" style="8" customWidth="1"/>
    <col min="12038" max="12038" width="18.85546875" style="8" customWidth="1"/>
    <col min="12039" max="12039" width="12.7109375" style="8" customWidth="1"/>
    <col min="12040" max="12287" width="9.140625" style="8"/>
    <col min="12288" max="12288" width="9.140625" style="8" customWidth="1"/>
    <col min="12289" max="12289" width="29" style="8" customWidth="1"/>
    <col min="12290" max="12290" width="16" style="8" customWidth="1"/>
    <col min="12291" max="12291" width="14.5703125" style="8" customWidth="1"/>
    <col min="12292" max="12292" width="2.42578125" style="8" customWidth="1"/>
    <col min="12293" max="12293" width="13.140625" style="8" customWidth="1"/>
    <col min="12294" max="12294" width="18.85546875" style="8" customWidth="1"/>
    <col min="12295" max="12295" width="12.7109375" style="8" customWidth="1"/>
    <col min="12296" max="12543" width="9.140625" style="8"/>
    <col min="12544" max="12544" width="9.140625" style="8" customWidth="1"/>
    <col min="12545" max="12545" width="29" style="8" customWidth="1"/>
    <col min="12546" max="12546" width="16" style="8" customWidth="1"/>
    <col min="12547" max="12547" width="14.5703125" style="8" customWidth="1"/>
    <col min="12548" max="12548" width="2.42578125" style="8" customWidth="1"/>
    <col min="12549" max="12549" width="13.140625" style="8" customWidth="1"/>
    <col min="12550" max="12550" width="18.85546875" style="8" customWidth="1"/>
    <col min="12551" max="12551" width="12.7109375" style="8" customWidth="1"/>
    <col min="12552" max="12799" width="9.140625" style="8"/>
    <col min="12800" max="12800" width="9.140625" style="8" customWidth="1"/>
    <col min="12801" max="12801" width="29" style="8" customWidth="1"/>
    <col min="12802" max="12802" width="16" style="8" customWidth="1"/>
    <col min="12803" max="12803" width="14.5703125" style="8" customWidth="1"/>
    <col min="12804" max="12804" width="2.42578125" style="8" customWidth="1"/>
    <col min="12805" max="12805" width="13.140625" style="8" customWidth="1"/>
    <col min="12806" max="12806" width="18.85546875" style="8" customWidth="1"/>
    <col min="12807" max="12807" width="12.7109375" style="8" customWidth="1"/>
    <col min="12808" max="13055" width="9.140625" style="8"/>
    <col min="13056" max="13056" width="9.140625" style="8" customWidth="1"/>
    <col min="13057" max="13057" width="29" style="8" customWidth="1"/>
    <col min="13058" max="13058" width="16" style="8" customWidth="1"/>
    <col min="13059" max="13059" width="14.5703125" style="8" customWidth="1"/>
    <col min="13060" max="13060" width="2.42578125" style="8" customWidth="1"/>
    <col min="13061" max="13061" width="13.140625" style="8" customWidth="1"/>
    <col min="13062" max="13062" width="18.85546875" style="8" customWidth="1"/>
    <col min="13063" max="13063" width="12.7109375" style="8" customWidth="1"/>
    <col min="13064" max="13311" width="9.140625" style="8"/>
    <col min="13312" max="13312" width="9.140625" style="8" customWidth="1"/>
    <col min="13313" max="13313" width="29" style="8" customWidth="1"/>
    <col min="13314" max="13314" width="16" style="8" customWidth="1"/>
    <col min="13315" max="13315" width="14.5703125" style="8" customWidth="1"/>
    <col min="13316" max="13316" width="2.42578125" style="8" customWidth="1"/>
    <col min="13317" max="13317" width="13.140625" style="8" customWidth="1"/>
    <col min="13318" max="13318" width="18.85546875" style="8" customWidth="1"/>
    <col min="13319" max="13319" width="12.7109375" style="8" customWidth="1"/>
    <col min="13320" max="13567" width="9.140625" style="8"/>
    <col min="13568" max="13568" width="9.140625" style="8" customWidth="1"/>
    <col min="13569" max="13569" width="29" style="8" customWidth="1"/>
    <col min="13570" max="13570" width="16" style="8" customWidth="1"/>
    <col min="13571" max="13571" width="14.5703125" style="8" customWidth="1"/>
    <col min="13572" max="13572" width="2.42578125" style="8" customWidth="1"/>
    <col min="13573" max="13573" width="13.140625" style="8" customWidth="1"/>
    <col min="13574" max="13574" width="18.85546875" style="8" customWidth="1"/>
    <col min="13575" max="13575" width="12.7109375" style="8" customWidth="1"/>
    <col min="13576" max="13823" width="9.140625" style="8"/>
    <col min="13824" max="13824" width="9.140625" style="8" customWidth="1"/>
    <col min="13825" max="13825" width="29" style="8" customWidth="1"/>
    <col min="13826" max="13826" width="16" style="8" customWidth="1"/>
    <col min="13827" max="13827" width="14.5703125" style="8" customWidth="1"/>
    <col min="13828" max="13828" width="2.42578125" style="8" customWidth="1"/>
    <col min="13829" max="13829" width="13.140625" style="8" customWidth="1"/>
    <col min="13830" max="13830" width="18.85546875" style="8" customWidth="1"/>
    <col min="13831" max="13831" width="12.7109375" style="8" customWidth="1"/>
    <col min="13832" max="14079" width="9.140625" style="8"/>
    <col min="14080" max="14080" width="9.140625" style="8" customWidth="1"/>
    <col min="14081" max="14081" width="29" style="8" customWidth="1"/>
    <col min="14082" max="14082" width="16" style="8" customWidth="1"/>
    <col min="14083" max="14083" width="14.5703125" style="8" customWidth="1"/>
    <col min="14084" max="14084" width="2.42578125" style="8" customWidth="1"/>
    <col min="14085" max="14085" width="13.140625" style="8" customWidth="1"/>
    <col min="14086" max="14086" width="18.85546875" style="8" customWidth="1"/>
    <col min="14087" max="14087" width="12.7109375" style="8" customWidth="1"/>
    <col min="14088" max="14335" width="9.140625" style="8"/>
    <col min="14336" max="14336" width="9.140625" style="8" customWidth="1"/>
    <col min="14337" max="14337" width="29" style="8" customWidth="1"/>
    <col min="14338" max="14338" width="16" style="8" customWidth="1"/>
    <col min="14339" max="14339" width="14.5703125" style="8" customWidth="1"/>
    <col min="14340" max="14340" width="2.42578125" style="8" customWidth="1"/>
    <col min="14341" max="14341" width="13.140625" style="8" customWidth="1"/>
    <col min="14342" max="14342" width="18.85546875" style="8" customWidth="1"/>
    <col min="14343" max="14343" width="12.7109375" style="8" customWidth="1"/>
    <col min="14344" max="14591" width="9.140625" style="8"/>
    <col min="14592" max="14592" width="9.140625" style="8" customWidth="1"/>
    <col min="14593" max="14593" width="29" style="8" customWidth="1"/>
    <col min="14594" max="14594" width="16" style="8" customWidth="1"/>
    <col min="14595" max="14595" width="14.5703125" style="8" customWidth="1"/>
    <col min="14596" max="14596" width="2.42578125" style="8" customWidth="1"/>
    <col min="14597" max="14597" width="13.140625" style="8" customWidth="1"/>
    <col min="14598" max="14598" width="18.85546875" style="8" customWidth="1"/>
    <col min="14599" max="14599" width="12.7109375" style="8" customWidth="1"/>
    <col min="14600" max="14847" width="9.140625" style="8"/>
    <col min="14848" max="14848" width="9.140625" style="8" customWidth="1"/>
    <col min="14849" max="14849" width="29" style="8" customWidth="1"/>
    <col min="14850" max="14850" width="16" style="8" customWidth="1"/>
    <col min="14851" max="14851" width="14.5703125" style="8" customWidth="1"/>
    <col min="14852" max="14852" width="2.42578125" style="8" customWidth="1"/>
    <col min="14853" max="14853" width="13.140625" style="8" customWidth="1"/>
    <col min="14854" max="14854" width="18.85546875" style="8" customWidth="1"/>
    <col min="14855" max="14855" width="12.7109375" style="8" customWidth="1"/>
    <col min="14856" max="15103" width="9.140625" style="8"/>
    <col min="15104" max="15104" width="9.140625" style="8" customWidth="1"/>
    <col min="15105" max="15105" width="29" style="8" customWidth="1"/>
    <col min="15106" max="15106" width="16" style="8" customWidth="1"/>
    <col min="15107" max="15107" width="14.5703125" style="8" customWidth="1"/>
    <col min="15108" max="15108" width="2.42578125" style="8" customWidth="1"/>
    <col min="15109" max="15109" width="13.140625" style="8" customWidth="1"/>
    <col min="15110" max="15110" width="18.85546875" style="8" customWidth="1"/>
    <col min="15111" max="15111" width="12.7109375" style="8" customWidth="1"/>
    <col min="15112" max="15359" width="9.140625" style="8"/>
    <col min="15360" max="15360" width="9.140625" style="8" customWidth="1"/>
    <col min="15361" max="15361" width="29" style="8" customWidth="1"/>
    <col min="15362" max="15362" width="16" style="8" customWidth="1"/>
    <col min="15363" max="15363" width="14.5703125" style="8" customWidth="1"/>
    <col min="15364" max="15364" width="2.42578125" style="8" customWidth="1"/>
    <col min="15365" max="15365" width="13.140625" style="8" customWidth="1"/>
    <col min="15366" max="15366" width="18.85546875" style="8" customWidth="1"/>
    <col min="15367" max="15367" width="12.7109375" style="8" customWidth="1"/>
    <col min="15368" max="15615" width="9.140625" style="8"/>
    <col min="15616" max="15616" width="9.140625" style="8" customWidth="1"/>
    <col min="15617" max="15617" width="29" style="8" customWidth="1"/>
    <col min="15618" max="15618" width="16" style="8" customWidth="1"/>
    <col min="15619" max="15619" width="14.5703125" style="8" customWidth="1"/>
    <col min="15620" max="15620" width="2.42578125" style="8" customWidth="1"/>
    <col min="15621" max="15621" width="13.140625" style="8" customWidth="1"/>
    <col min="15622" max="15622" width="18.85546875" style="8" customWidth="1"/>
    <col min="15623" max="15623" width="12.7109375" style="8" customWidth="1"/>
    <col min="15624" max="15871" width="9.140625" style="8"/>
    <col min="15872" max="15872" width="9.140625" style="8" customWidth="1"/>
    <col min="15873" max="15873" width="29" style="8" customWidth="1"/>
    <col min="15874" max="15874" width="16" style="8" customWidth="1"/>
    <col min="15875" max="15875" width="14.5703125" style="8" customWidth="1"/>
    <col min="15876" max="15876" width="2.42578125" style="8" customWidth="1"/>
    <col min="15877" max="15877" width="13.140625" style="8" customWidth="1"/>
    <col min="15878" max="15878" width="18.85546875" style="8" customWidth="1"/>
    <col min="15879" max="15879" width="12.7109375" style="8" customWidth="1"/>
    <col min="15880" max="16127" width="9.140625" style="8"/>
    <col min="16128" max="16128" width="9.140625" style="8" customWidth="1"/>
    <col min="16129" max="16129" width="29" style="8" customWidth="1"/>
    <col min="16130" max="16130" width="16" style="8" customWidth="1"/>
    <col min="16131" max="16131" width="14.5703125" style="8" customWidth="1"/>
    <col min="16132" max="16132" width="2.42578125" style="8" customWidth="1"/>
    <col min="16133" max="16133" width="13.140625" style="8" customWidth="1"/>
    <col min="16134" max="16134" width="18.85546875" style="8" customWidth="1"/>
    <col min="16135" max="16135" width="12.7109375" style="8" customWidth="1"/>
    <col min="16136" max="16384" width="9.140625" style="8"/>
  </cols>
  <sheetData>
    <row r="1" spans="1:7" ht="20.25" x14ac:dyDescent="0.3">
      <c r="A1" s="46" t="s">
        <v>86</v>
      </c>
      <c r="B1" s="51"/>
      <c r="C1" s="51"/>
      <c r="D1" s="51"/>
      <c r="E1" s="51"/>
      <c r="F1" s="51"/>
      <c r="G1" s="13"/>
    </row>
    <row r="2" spans="1:7" ht="20.25" x14ac:dyDescent="0.3">
      <c r="A2" s="33"/>
      <c r="B2" s="51"/>
      <c r="C2" s="51"/>
      <c r="D2" s="51"/>
      <c r="E2" s="51"/>
      <c r="F2" s="51"/>
      <c r="G2" s="13"/>
    </row>
    <row r="3" spans="1:7" ht="20.25" x14ac:dyDescent="0.3">
      <c r="A3" s="46" t="s">
        <v>21</v>
      </c>
      <c r="B3" s="46" t="s">
        <v>20</v>
      </c>
      <c r="C3" s="46" t="s">
        <v>19</v>
      </c>
      <c r="D3" s="51"/>
      <c r="E3" s="46" t="s">
        <v>18</v>
      </c>
      <c r="F3" s="46" t="s">
        <v>17</v>
      </c>
      <c r="G3" s="13"/>
    </row>
    <row r="4" spans="1:7" ht="23.25" x14ac:dyDescent="0.4">
      <c r="A4" s="42" t="s">
        <v>85</v>
      </c>
      <c r="B4" s="50" t="s">
        <v>84</v>
      </c>
      <c r="C4" s="45">
        <v>50</v>
      </c>
      <c r="D4" s="45"/>
      <c r="E4" s="48" t="s">
        <v>83</v>
      </c>
      <c r="F4" s="45">
        <f>(C7^2+C8^2-2*C10*C7*C8)^0.5</f>
        <v>0.72111025509279791</v>
      </c>
    </row>
    <row r="5" spans="1:7" ht="23.25" x14ac:dyDescent="0.4">
      <c r="A5" s="42" t="s">
        <v>82</v>
      </c>
      <c r="B5" s="50" t="s">
        <v>81</v>
      </c>
      <c r="C5" s="45">
        <v>40</v>
      </c>
      <c r="D5" s="45"/>
      <c r="E5" s="50" t="s">
        <v>14</v>
      </c>
      <c r="F5" s="45">
        <f>((LN(C4/C5))+(0.5*F4^2)*C9)/(F4*C9^0.5)</f>
        <v>0.79916642227513257</v>
      </c>
    </row>
    <row r="6" spans="1:7" ht="20.25" x14ac:dyDescent="0.3">
      <c r="A6" s="42" t="s">
        <v>10</v>
      </c>
      <c r="B6" s="50" t="s">
        <v>80</v>
      </c>
      <c r="C6" s="45">
        <v>0.05</v>
      </c>
      <c r="D6" s="45"/>
      <c r="E6" s="50" t="s">
        <v>11</v>
      </c>
      <c r="F6" s="45">
        <f>F5-F4*C9^0.5</f>
        <v>0.43861129472873361</v>
      </c>
    </row>
    <row r="7" spans="1:7" ht="20.25" x14ac:dyDescent="0.3">
      <c r="A7" s="42" t="s">
        <v>79</v>
      </c>
      <c r="B7" s="50" t="s">
        <v>78</v>
      </c>
      <c r="C7" s="45">
        <v>0.4</v>
      </c>
      <c r="D7" s="45"/>
      <c r="E7" s="50" t="s">
        <v>8</v>
      </c>
      <c r="F7" s="45">
        <f>NORMDIST(F5,0,1,1)</f>
        <v>0.78790304048413617</v>
      </c>
    </row>
    <row r="8" spans="1:7" ht="20.25" x14ac:dyDescent="0.3">
      <c r="A8" s="42" t="s">
        <v>79</v>
      </c>
      <c r="B8" s="50" t="s">
        <v>78</v>
      </c>
      <c r="C8" s="45">
        <v>0.6</v>
      </c>
      <c r="E8" s="50" t="s">
        <v>5</v>
      </c>
      <c r="F8" s="45">
        <f>NORMDIST(F6,0,1,1)</f>
        <v>0.66952839420655352</v>
      </c>
    </row>
    <row r="9" spans="1:7" ht="20.25" x14ac:dyDescent="0.3">
      <c r="A9" s="42" t="s">
        <v>4</v>
      </c>
      <c r="B9" s="50" t="s">
        <v>3</v>
      </c>
      <c r="C9" s="45">
        <v>0.25</v>
      </c>
      <c r="D9" s="45"/>
      <c r="E9" s="50" t="s">
        <v>2</v>
      </c>
      <c r="F9" s="45">
        <f>C4*F7-C5*F8</f>
        <v>12.614016255944669</v>
      </c>
    </row>
    <row r="10" spans="1:7" ht="23.25" x14ac:dyDescent="0.4">
      <c r="A10" s="49" t="s">
        <v>77</v>
      </c>
      <c r="B10" s="48" t="s">
        <v>76</v>
      </c>
      <c r="C10" s="47">
        <v>0</v>
      </c>
      <c r="D10" s="45"/>
      <c r="E10" s="46" t="s">
        <v>75</v>
      </c>
      <c r="F10" s="45">
        <f>F9+C5-C4</f>
        <v>2.6140162559446694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0</xdr:col>
                <xdr:colOff>1314450</xdr:colOff>
                <xdr:row>25</xdr:row>
                <xdr:rowOff>57150</xdr:rowOff>
              </from>
              <to>
                <xdr:col>1</xdr:col>
                <xdr:colOff>819150</xdr:colOff>
                <xdr:row>27</xdr:row>
                <xdr:rowOff>66675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7">
            <anchor moveWithCells="1" sizeWithCells="1">
              <from>
                <xdr:col>0</xdr:col>
                <xdr:colOff>1019175</xdr:colOff>
                <xdr:row>15</xdr:row>
                <xdr:rowOff>9525</xdr:rowOff>
              </from>
              <to>
                <xdr:col>2</xdr:col>
                <xdr:colOff>781050</xdr:colOff>
                <xdr:row>17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8">
          <objectPr defaultSize="0" autoPict="0" r:id="rId9">
            <anchor moveWithCells="1" sizeWithCells="1">
              <from>
                <xdr:col>0</xdr:col>
                <xdr:colOff>971550</xdr:colOff>
                <xdr:row>17</xdr:row>
                <xdr:rowOff>152400</xdr:rowOff>
              </from>
              <to>
                <xdr:col>2</xdr:col>
                <xdr:colOff>0</xdr:colOff>
                <xdr:row>24</xdr:row>
                <xdr:rowOff>57150</xdr:rowOff>
              </to>
            </anchor>
          </objectPr>
        </oleObject>
      </mc:Choice>
      <mc:Fallback>
        <oleObject progId="Equation.3" shapeId="8195" r:id="rId8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G9"/>
  <sheetViews>
    <sheetView zoomScale="110" zoomScaleNormal="110" workbookViewId="0">
      <selection activeCell="A2" sqref="A2"/>
    </sheetView>
  </sheetViews>
  <sheetFormatPr defaultColWidth="9.140625" defaultRowHeight="12.75" x14ac:dyDescent="0.2"/>
  <cols>
    <col min="1" max="1" width="29" style="8" customWidth="1"/>
    <col min="2" max="2" width="16" style="8" customWidth="1"/>
    <col min="3" max="3" width="14.5703125" style="8" customWidth="1"/>
    <col min="4" max="4" width="2.42578125" style="8" customWidth="1"/>
    <col min="5" max="5" width="13.140625" style="8" customWidth="1"/>
    <col min="6" max="6" width="18.85546875" style="8" customWidth="1"/>
    <col min="7" max="7" width="12.7109375" style="8" customWidth="1"/>
    <col min="8" max="255" width="9.140625" style="8"/>
    <col min="256" max="256" width="9.140625" style="8" customWidth="1"/>
    <col min="257" max="257" width="29" style="8" customWidth="1"/>
    <col min="258" max="258" width="16" style="8" customWidth="1"/>
    <col min="259" max="259" width="14.5703125" style="8" customWidth="1"/>
    <col min="260" max="260" width="2.42578125" style="8" customWidth="1"/>
    <col min="261" max="261" width="13.140625" style="8" customWidth="1"/>
    <col min="262" max="262" width="18.85546875" style="8" customWidth="1"/>
    <col min="263" max="263" width="12.7109375" style="8" customWidth="1"/>
    <col min="264" max="511" width="9.140625" style="8"/>
    <col min="512" max="512" width="9.140625" style="8" customWidth="1"/>
    <col min="513" max="513" width="29" style="8" customWidth="1"/>
    <col min="514" max="514" width="16" style="8" customWidth="1"/>
    <col min="515" max="515" width="14.5703125" style="8" customWidth="1"/>
    <col min="516" max="516" width="2.42578125" style="8" customWidth="1"/>
    <col min="517" max="517" width="13.140625" style="8" customWidth="1"/>
    <col min="518" max="518" width="18.85546875" style="8" customWidth="1"/>
    <col min="519" max="519" width="12.7109375" style="8" customWidth="1"/>
    <col min="520" max="767" width="9.140625" style="8"/>
    <col min="768" max="768" width="9.140625" style="8" customWidth="1"/>
    <col min="769" max="769" width="29" style="8" customWidth="1"/>
    <col min="770" max="770" width="16" style="8" customWidth="1"/>
    <col min="771" max="771" width="14.5703125" style="8" customWidth="1"/>
    <col min="772" max="772" width="2.42578125" style="8" customWidth="1"/>
    <col min="773" max="773" width="13.140625" style="8" customWidth="1"/>
    <col min="774" max="774" width="18.85546875" style="8" customWidth="1"/>
    <col min="775" max="775" width="12.7109375" style="8" customWidth="1"/>
    <col min="776" max="1023" width="9.140625" style="8"/>
    <col min="1024" max="1024" width="9.140625" style="8" customWidth="1"/>
    <col min="1025" max="1025" width="29" style="8" customWidth="1"/>
    <col min="1026" max="1026" width="16" style="8" customWidth="1"/>
    <col min="1027" max="1027" width="14.5703125" style="8" customWidth="1"/>
    <col min="1028" max="1028" width="2.42578125" style="8" customWidth="1"/>
    <col min="1029" max="1029" width="13.140625" style="8" customWidth="1"/>
    <col min="1030" max="1030" width="18.85546875" style="8" customWidth="1"/>
    <col min="1031" max="1031" width="12.7109375" style="8" customWidth="1"/>
    <col min="1032" max="1279" width="9.140625" style="8"/>
    <col min="1280" max="1280" width="9.140625" style="8" customWidth="1"/>
    <col min="1281" max="1281" width="29" style="8" customWidth="1"/>
    <col min="1282" max="1282" width="16" style="8" customWidth="1"/>
    <col min="1283" max="1283" width="14.5703125" style="8" customWidth="1"/>
    <col min="1284" max="1284" width="2.42578125" style="8" customWidth="1"/>
    <col min="1285" max="1285" width="13.140625" style="8" customWidth="1"/>
    <col min="1286" max="1286" width="18.85546875" style="8" customWidth="1"/>
    <col min="1287" max="1287" width="12.7109375" style="8" customWidth="1"/>
    <col min="1288" max="1535" width="9.140625" style="8"/>
    <col min="1536" max="1536" width="9.140625" style="8" customWidth="1"/>
    <col min="1537" max="1537" width="29" style="8" customWidth="1"/>
    <col min="1538" max="1538" width="16" style="8" customWidth="1"/>
    <col min="1539" max="1539" width="14.5703125" style="8" customWidth="1"/>
    <col min="1540" max="1540" width="2.42578125" style="8" customWidth="1"/>
    <col min="1541" max="1541" width="13.140625" style="8" customWidth="1"/>
    <col min="1542" max="1542" width="18.85546875" style="8" customWidth="1"/>
    <col min="1543" max="1543" width="12.7109375" style="8" customWidth="1"/>
    <col min="1544" max="1791" width="9.140625" style="8"/>
    <col min="1792" max="1792" width="9.140625" style="8" customWidth="1"/>
    <col min="1793" max="1793" width="29" style="8" customWidth="1"/>
    <col min="1794" max="1794" width="16" style="8" customWidth="1"/>
    <col min="1795" max="1795" width="14.5703125" style="8" customWidth="1"/>
    <col min="1796" max="1796" width="2.42578125" style="8" customWidth="1"/>
    <col min="1797" max="1797" width="13.140625" style="8" customWidth="1"/>
    <col min="1798" max="1798" width="18.85546875" style="8" customWidth="1"/>
    <col min="1799" max="1799" width="12.7109375" style="8" customWidth="1"/>
    <col min="1800" max="2047" width="9.140625" style="8"/>
    <col min="2048" max="2048" width="9.140625" style="8" customWidth="1"/>
    <col min="2049" max="2049" width="29" style="8" customWidth="1"/>
    <col min="2050" max="2050" width="16" style="8" customWidth="1"/>
    <col min="2051" max="2051" width="14.5703125" style="8" customWidth="1"/>
    <col min="2052" max="2052" width="2.42578125" style="8" customWidth="1"/>
    <col min="2053" max="2053" width="13.140625" style="8" customWidth="1"/>
    <col min="2054" max="2054" width="18.85546875" style="8" customWidth="1"/>
    <col min="2055" max="2055" width="12.7109375" style="8" customWidth="1"/>
    <col min="2056" max="2303" width="9.140625" style="8"/>
    <col min="2304" max="2304" width="9.140625" style="8" customWidth="1"/>
    <col min="2305" max="2305" width="29" style="8" customWidth="1"/>
    <col min="2306" max="2306" width="16" style="8" customWidth="1"/>
    <col min="2307" max="2307" width="14.5703125" style="8" customWidth="1"/>
    <col min="2308" max="2308" width="2.42578125" style="8" customWidth="1"/>
    <col min="2309" max="2309" width="13.140625" style="8" customWidth="1"/>
    <col min="2310" max="2310" width="18.85546875" style="8" customWidth="1"/>
    <col min="2311" max="2311" width="12.7109375" style="8" customWidth="1"/>
    <col min="2312" max="2559" width="9.140625" style="8"/>
    <col min="2560" max="2560" width="9.140625" style="8" customWidth="1"/>
    <col min="2561" max="2561" width="29" style="8" customWidth="1"/>
    <col min="2562" max="2562" width="16" style="8" customWidth="1"/>
    <col min="2563" max="2563" width="14.5703125" style="8" customWidth="1"/>
    <col min="2564" max="2564" width="2.42578125" style="8" customWidth="1"/>
    <col min="2565" max="2565" width="13.140625" style="8" customWidth="1"/>
    <col min="2566" max="2566" width="18.85546875" style="8" customWidth="1"/>
    <col min="2567" max="2567" width="12.7109375" style="8" customWidth="1"/>
    <col min="2568" max="2815" width="9.140625" style="8"/>
    <col min="2816" max="2816" width="9.140625" style="8" customWidth="1"/>
    <col min="2817" max="2817" width="29" style="8" customWidth="1"/>
    <col min="2818" max="2818" width="16" style="8" customWidth="1"/>
    <col min="2819" max="2819" width="14.5703125" style="8" customWidth="1"/>
    <col min="2820" max="2820" width="2.42578125" style="8" customWidth="1"/>
    <col min="2821" max="2821" width="13.140625" style="8" customWidth="1"/>
    <col min="2822" max="2822" width="18.85546875" style="8" customWidth="1"/>
    <col min="2823" max="2823" width="12.7109375" style="8" customWidth="1"/>
    <col min="2824" max="3071" width="9.140625" style="8"/>
    <col min="3072" max="3072" width="9.140625" style="8" customWidth="1"/>
    <col min="3073" max="3073" width="29" style="8" customWidth="1"/>
    <col min="3074" max="3074" width="16" style="8" customWidth="1"/>
    <col min="3075" max="3075" width="14.5703125" style="8" customWidth="1"/>
    <col min="3076" max="3076" width="2.42578125" style="8" customWidth="1"/>
    <col min="3077" max="3077" width="13.140625" style="8" customWidth="1"/>
    <col min="3078" max="3078" width="18.85546875" style="8" customWidth="1"/>
    <col min="3079" max="3079" width="12.7109375" style="8" customWidth="1"/>
    <col min="3080" max="3327" width="9.140625" style="8"/>
    <col min="3328" max="3328" width="9.140625" style="8" customWidth="1"/>
    <col min="3329" max="3329" width="29" style="8" customWidth="1"/>
    <col min="3330" max="3330" width="16" style="8" customWidth="1"/>
    <col min="3331" max="3331" width="14.5703125" style="8" customWidth="1"/>
    <col min="3332" max="3332" width="2.42578125" style="8" customWidth="1"/>
    <col min="3333" max="3333" width="13.140625" style="8" customWidth="1"/>
    <col min="3334" max="3334" width="18.85546875" style="8" customWidth="1"/>
    <col min="3335" max="3335" width="12.7109375" style="8" customWidth="1"/>
    <col min="3336" max="3583" width="9.140625" style="8"/>
    <col min="3584" max="3584" width="9.140625" style="8" customWidth="1"/>
    <col min="3585" max="3585" width="29" style="8" customWidth="1"/>
    <col min="3586" max="3586" width="16" style="8" customWidth="1"/>
    <col min="3587" max="3587" width="14.5703125" style="8" customWidth="1"/>
    <col min="3588" max="3588" width="2.42578125" style="8" customWidth="1"/>
    <col min="3589" max="3589" width="13.140625" style="8" customWidth="1"/>
    <col min="3590" max="3590" width="18.85546875" style="8" customWidth="1"/>
    <col min="3591" max="3591" width="12.7109375" style="8" customWidth="1"/>
    <col min="3592" max="3839" width="9.140625" style="8"/>
    <col min="3840" max="3840" width="9.140625" style="8" customWidth="1"/>
    <col min="3841" max="3841" width="29" style="8" customWidth="1"/>
    <col min="3842" max="3842" width="16" style="8" customWidth="1"/>
    <col min="3843" max="3843" width="14.5703125" style="8" customWidth="1"/>
    <col min="3844" max="3844" width="2.42578125" style="8" customWidth="1"/>
    <col min="3845" max="3845" width="13.140625" style="8" customWidth="1"/>
    <col min="3846" max="3846" width="18.85546875" style="8" customWidth="1"/>
    <col min="3847" max="3847" width="12.7109375" style="8" customWidth="1"/>
    <col min="3848" max="4095" width="9.140625" style="8"/>
    <col min="4096" max="4096" width="9.140625" style="8" customWidth="1"/>
    <col min="4097" max="4097" width="29" style="8" customWidth="1"/>
    <col min="4098" max="4098" width="16" style="8" customWidth="1"/>
    <col min="4099" max="4099" width="14.5703125" style="8" customWidth="1"/>
    <col min="4100" max="4100" width="2.42578125" style="8" customWidth="1"/>
    <col min="4101" max="4101" width="13.140625" style="8" customWidth="1"/>
    <col min="4102" max="4102" width="18.85546875" style="8" customWidth="1"/>
    <col min="4103" max="4103" width="12.7109375" style="8" customWidth="1"/>
    <col min="4104" max="4351" width="9.140625" style="8"/>
    <col min="4352" max="4352" width="9.140625" style="8" customWidth="1"/>
    <col min="4353" max="4353" width="29" style="8" customWidth="1"/>
    <col min="4354" max="4354" width="16" style="8" customWidth="1"/>
    <col min="4355" max="4355" width="14.5703125" style="8" customWidth="1"/>
    <col min="4356" max="4356" width="2.42578125" style="8" customWidth="1"/>
    <col min="4357" max="4357" width="13.140625" style="8" customWidth="1"/>
    <col min="4358" max="4358" width="18.85546875" style="8" customWidth="1"/>
    <col min="4359" max="4359" width="12.7109375" style="8" customWidth="1"/>
    <col min="4360" max="4607" width="9.140625" style="8"/>
    <col min="4608" max="4608" width="9.140625" style="8" customWidth="1"/>
    <col min="4609" max="4609" width="29" style="8" customWidth="1"/>
    <col min="4610" max="4610" width="16" style="8" customWidth="1"/>
    <col min="4611" max="4611" width="14.5703125" style="8" customWidth="1"/>
    <col min="4612" max="4612" width="2.42578125" style="8" customWidth="1"/>
    <col min="4613" max="4613" width="13.140625" style="8" customWidth="1"/>
    <col min="4614" max="4614" width="18.85546875" style="8" customWidth="1"/>
    <col min="4615" max="4615" width="12.7109375" style="8" customWidth="1"/>
    <col min="4616" max="4863" width="9.140625" style="8"/>
    <col min="4864" max="4864" width="9.140625" style="8" customWidth="1"/>
    <col min="4865" max="4865" width="29" style="8" customWidth="1"/>
    <col min="4866" max="4866" width="16" style="8" customWidth="1"/>
    <col min="4867" max="4867" width="14.5703125" style="8" customWidth="1"/>
    <col min="4868" max="4868" width="2.42578125" style="8" customWidth="1"/>
    <col min="4869" max="4869" width="13.140625" style="8" customWidth="1"/>
    <col min="4870" max="4870" width="18.85546875" style="8" customWidth="1"/>
    <col min="4871" max="4871" width="12.7109375" style="8" customWidth="1"/>
    <col min="4872" max="5119" width="9.140625" style="8"/>
    <col min="5120" max="5120" width="9.140625" style="8" customWidth="1"/>
    <col min="5121" max="5121" width="29" style="8" customWidth="1"/>
    <col min="5122" max="5122" width="16" style="8" customWidth="1"/>
    <col min="5123" max="5123" width="14.5703125" style="8" customWidth="1"/>
    <col min="5124" max="5124" width="2.42578125" style="8" customWidth="1"/>
    <col min="5125" max="5125" width="13.140625" style="8" customWidth="1"/>
    <col min="5126" max="5126" width="18.85546875" style="8" customWidth="1"/>
    <col min="5127" max="5127" width="12.7109375" style="8" customWidth="1"/>
    <col min="5128" max="5375" width="9.140625" style="8"/>
    <col min="5376" max="5376" width="9.140625" style="8" customWidth="1"/>
    <col min="5377" max="5377" width="29" style="8" customWidth="1"/>
    <col min="5378" max="5378" width="16" style="8" customWidth="1"/>
    <col min="5379" max="5379" width="14.5703125" style="8" customWidth="1"/>
    <col min="5380" max="5380" width="2.42578125" style="8" customWidth="1"/>
    <col min="5381" max="5381" width="13.140625" style="8" customWidth="1"/>
    <col min="5382" max="5382" width="18.85546875" style="8" customWidth="1"/>
    <col min="5383" max="5383" width="12.7109375" style="8" customWidth="1"/>
    <col min="5384" max="5631" width="9.140625" style="8"/>
    <col min="5632" max="5632" width="9.140625" style="8" customWidth="1"/>
    <col min="5633" max="5633" width="29" style="8" customWidth="1"/>
    <col min="5634" max="5634" width="16" style="8" customWidth="1"/>
    <col min="5635" max="5635" width="14.5703125" style="8" customWidth="1"/>
    <col min="5636" max="5636" width="2.42578125" style="8" customWidth="1"/>
    <col min="5637" max="5637" width="13.140625" style="8" customWidth="1"/>
    <col min="5638" max="5638" width="18.85546875" style="8" customWidth="1"/>
    <col min="5639" max="5639" width="12.7109375" style="8" customWidth="1"/>
    <col min="5640" max="5887" width="9.140625" style="8"/>
    <col min="5888" max="5888" width="9.140625" style="8" customWidth="1"/>
    <col min="5889" max="5889" width="29" style="8" customWidth="1"/>
    <col min="5890" max="5890" width="16" style="8" customWidth="1"/>
    <col min="5891" max="5891" width="14.5703125" style="8" customWidth="1"/>
    <col min="5892" max="5892" width="2.42578125" style="8" customWidth="1"/>
    <col min="5893" max="5893" width="13.140625" style="8" customWidth="1"/>
    <col min="5894" max="5894" width="18.85546875" style="8" customWidth="1"/>
    <col min="5895" max="5895" width="12.7109375" style="8" customWidth="1"/>
    <col min="5896" max="6143" width="9.140625" style="8"/>
    <col min="6144" max="6144" width="9.140625" style="8" customWidth="1"/>
    <col min="6145" max="6145" width="29" style="8" customWidth="1"/>
    <col min="6146" max="6146" width="16" style="8" customWidth="1"/>
    <col min="6147" max="6147" width="14.5703125" style="8" customWidth="1"/>
    <col min="6148" max="6148" width="2.42578125" style="8" customWidth="1"/>
    <col min="6149" max="6149" width="13.140625" style="8" customWidth="1"/>
    <col min="6150" max="6150" width="18.85546875" style="8" customWidth="1"/>
    <col min="6151" max="6151" width="12.7109375" style="8" customWidth="1"/>
    <col min="6152" max="6399" width="9.140625" style="8"/>
    <col min="6400" max="6400" width="9.140625" style="8" customWidth="1"/>
    <col min="6401" max="6401" width="29" style="8" customWidth="1"/>
    <col min="6402" max="6402" width="16" style="8" customWidth="1"/>
    <col min="6403" max="6403" width="14.5703125" style="8" customWidth="1"/>
    <col min="6404" max="6404" width="2.42578125" style="8" customWidth="1"/>
    <col min="6405" max="6405" width="13.140625" style="8" customWidth="1"/>
    <col min="6406" max="6406" width="18.85546875" style="8" customWidth="1"/>
    <col min="6407" max="6407" width="12.7109375" style="8" customWidth="1"/>
    <col min="6408" max="6655" width="9.140625" style="8"/>
    <col min="6656" max="6656" width="9.140625" style="8" customWidth="1"/>
    <col min="6657" max="6657" width="29" style="8" customWidth="1"/>
    <col min="6658" max="6658" width="16" style="8" customWidth="1"/>
    <col min="6659" max="6659" width="14.5703125" style="8" customWidth="1"/>
    <col min="6660" max="6660" width="2.42578125" style="8" customWidth="1"/>
    <col min="6661" max="6661" width="13.140625" style="8" customWidth="1"/>
    <col min="6662" max="6662" width="18.85546875" style="8" customWidth="1"/>
    <col min="6663" max="6663" width="12.7109375" style="8" customWidth="1"/>
    <col min="6664" max="6911" width="9.140625" style="8"/>
    <col min="6912" max="6912" width="9.140625" style="8" customWidth="1"/>
    <col min="6913" max="6913" width="29" style="8" customWidth="1"/>
    <col min="6914" max="6914" width="16" style="8" customWidth="1"/>
    <col min="6915" max="6915" width="14.5703125" style="8" customWidth="1"/>
    <col min="6916" max="6916" width="2.42578125" style="8" customWidth="1"/>
    <col min="6917" max="6917" width="13.140625" style="8" customWidth="1"/>
    <col min="6918" max="6918" width="18.85546875" style="8" customWidth="1"/>
    <col min="6919" max="6919" width="12.7109375" style="8" customWidth="1"/>
    <col min="6920" max="7167" width="9.140625" style="8"/>
    <col min="7168" max="7168" width="9.140625" style="8" customWidth="1"/>
    <col min="7169" max="7169" width="29" style="8" customWidth="1"/>
    <col min="7170" max="7170" width="16" style="8" customWidth="1"/>
    <col min="7171" max="7171" width="14.5703125" style="8" customWidth="1"/>
    <col min="7172" max="7172" width="2.42578125" style="8" customWidth="1"/>
    <col min="7173" max="7173" width="13.140625" style="8" customWidth="1"/>
    <col min="7174" max="7174" width="18.85546875" style="8" customWidth="1"/>
    <col min="7175" max="7175" width="12.7109375" style="8" customWidth="1"/>
    <col min="7176" max="7423" width="9.140625" style="8"/>
    <col min="7424" max="7424" width="9.140625" style="8" customWidth="1"/>
    <col min="7425" max="7425" width="29" style="8" customWidth="1"/>
    <col min="7426" max="7426" width="16" style="8" customWidth="1"/>
    <col min="7427" max="7427" width="14.5703125" style="8" customWidth="1"/>
    <col min="7428" max="7428" width="2.42578125" style="8" customWidth="1"/>
    <col min="7429" max="7429" width="13.140625" style="8" customWidth="1"/>
    <col min="7430" max="7430" width="18.85546875" style="8" customWidth="1"/>
    <col min="7431" max="7431" width="12.7109375" style="8" customWidth="1"/>
    <col min="7432" max="7679" width="9.140625" style="8"/>
    <col min="7680" max="7680" width="9.140625" style="8" customWidth="1"/>
    <col min="7681" max="7681" width="29" style="8" customWidth="1"/>
    <col min="7682" max="7682" width="16" style="8" customWidth="1"/>
    <col min="7683" max="7683" width="14.5703125" style="8" customWidth="1"/>
    <col min="7684" max="7684" width="2.42578125" style="8" customWidth="1"/>
    <col min="7685" max="7685" width="13.140625" style="8" customWidth="1"/>
    <col min="7686" max="7686" width="18.85546875" style="8" customWidth="1"/>
    <col min="7687" max="7687" width="12.7109375" style="8" customWidth="1"/>
    <col min="7688" max="7935" width="9.140625" style="8"/>
    <col min="7936" max="7936" width="9.140625" style="8" customWidth="1"/>
    <col min="7937" max="7937" width="29" style="8" customWidth="1"/>
    <col min="7938" max="7938" width="16" style="8" customWidth="1"/>
    <col min="7939" max="7939" width="14.5703125" style="8" customWidth="1"/>
    <col min="7940" max="7940" width="2.42578125" style="8" customWidth="1"/>
    <col min="7941" max="7941" width="13.140625" style="8" customWidth="1"/>
    <col min="7942" max="7942" width="18.85546875" style="8" customWidth="1"/>
    <col min="7943" max="7943" width="12.7109375" style="8" customWidth="1"/>
    <col min="7944" max="8191" width="9.140625" style="8"/>
    <col min="8192" max="8192" width="9.140625" style="8" customWidth="1"/>
    <col min="8193" max="8193" width="29" style="8" customWidth="1"/>
    <col min="8194" max="8194" width="16" style="8" customWidth="1"/>
    <col min="8195" max="8195" width="14.5703125" style="8" customWidth="1"/>
    <col min="8196" max="8196" width="2.42578125" style="8" customWidth="1"/>
    <col min="8197" max="8197" width="13.140625" style="8" customWidth="1"/>
    <col min="8198" max="8198" width="18.85546875" style="8" customWidth="1"/>
    <col min="8199" max="8199" width="12.7109375" style="8" customWidth="1"/>
    <col min="8200" max="8447" width="9.140625" style="8"/>
    <col min="8448" max="8448" width="9.140625" style="8" customWidth="1"/>
    <col min="8449" max="8449" width="29" style="8" customWidth="1"/>
    <col min="8450" max="8450" width="16" style="8" customWidth="1"/>
    <col min="8451" max="8451" width="14.5703125" style="8" customWidth="1"/>
    <col min="8452" max="8452" width="2.42578125" style="8" customWidth="1"/>
    <col min="8453" max="8453" width="13.140625" style="8" customWidth="1"/>
    <col min="8454" max="8454" width="18.85546875" style="8" customWidth="1"/>
    <col min="8455" max="8455" width="12.7109375" style="8" customWidth="1"/>
    <col min="8456" max="8703" width="9.140625" style="8"/>
    <col min="8704" max="8704" width="9.140625" style="8" customWidth="1"/>
    <col min="8705" max="8705" width="29" style="8" customWidth="1"/>
    <col min="8706" max="8706" width="16" style="8" customWidth="1"/>
    <col min="8707" max="8707" width="14.5703125" style="8" customWidth="1"/>
    <col min="8708" max="8708" width="2.42578125" style="8" customWidth="1"/>
    <col min="8709" max="8709" width="13.140625" style="8" customWidth="1"/>
    <col min="8710" max="8710" width="18.85546875" style="8" customWidth="1"/>
    <col min="8711" max="8711" width="12.7109375" style="8" customWidth="1"/>
    <col min="8712" max="8959" width="9.140625" style="8"/>
    <col min="8960" max="8960" width="9.140625" style="8" customWidth="1"/>
    <col min="8961" max="8961" width="29" style="8" customWidth="1"/>
    <col min="8962" max="8962" width="16" style="8" customWidth="1"/>
    <col min="8963" max="8963" width="14.5703125" style="8" customWidth="1"/>
    <col min="8964" max="8964" width="2.42578125" style="8" customWidth="1"/>
    <col min="8965" max="8965" width="13.140625" style="8" customWidth="1"/>
    <col min="8966" max="8966" width="18.85546875" style="8" customWidth="1"/>
    <col min="8967" max="8967" width="12.7109375" style="8" customWidth="1"/>
    <col min="8968" max="9215" width="9.140625" style="8"/>
    <col min="9216" max="9216" width="9.140625" style="8" customWidth="1"/>
    <col min="9217" max="9217" width="29" style="8" customWidth="1"/>
    <col min="9218" max="9218" width="16" style="8" customWidth="1"/>
    <col min="9219" max="9219" width="14.5703125" style="8" customWidth="1"/>
    <col min="9220" max="9220" width="2.42578125" style="8" customWidth="1"/>
    <col min="9221" max="9221" width="13.140625" style="8" customWidth="1"/>
    <col min="9222" max="9222" width="18.85546875" style="8" customWidth="1"/>
    <col min="9223" max="9223" width="12.7109375" style="8" customWidth="1"/>
    <col min="9224" max="9471" width="9.140625" style="8"/>
    <col min="9472" max="9472" width="9.140625" style="8" customWidth="1"/>
    <col min="9473" max="9473" width="29" style="8" customWidth="1"/>
    <col min="9474" max="9474" width="16" style="8" customWidth="1"/>
    <col min="9475" max="9475" width="14.5703125" style="8" customWidth="1"/>
    <col min="9476" max="9476" width="2.42578125" style="8" customWidth="1"/>
    <col min="9477" max="9477" width="13.140625" style="8" customWidth="1"/>
    <col min="9478" max="9478" width="18.85546875" style="8" customWidth="1"/>
    <col min="9479" max="9479" width="12.7109375" style="8" customWidth="1"/>
    <col min="9480" max="9727" width="9.140625" style="8"/>
    <col min="9728" max="9728" width="9.140625" style="8" customWidth="1"/>
    <col min="9729" max="9729" width="29" style="8" customWidth="1"/>
    <col min="9730" max="9730" width="16" style="8" customWidth="1"/>
    <col min="9731" max="9731" width="14.5703125" style="8" customWidth="1"/>
    <col min="9732" max="9732" width="2.42578125" style="8" customWidth="1"/>
    <col min="9733" max="9733" width="13.140625" style="8" customWidth="1"/>
    <col min="9734" max="9734" width="18.85546875" style="8" customWidth="1"/>
    <col min="9735" max="9735" width="12.7109375" style="8" customWidth="1"/>
    <col min="9736" max="9983" width="9.140625" style="8"/>
    <col min="9984" max="9984" width="9.140625" style="8" customWidth="1"/>
    <col min="9985" max="9985" width="29" style="8" customWidth="1"/>
    <col min="9986" max="9986" width="16" style="8" customWidth="1"/>
    <col min="9987" max="9987" width="14.5703125" style="8" customWidth="1"/>
    <col min="9988" max="9988" width="2.42578125" style="8" customWidth="1"/>
    <col min="9989" max="9989" width="13.140625" style="8" customWidth="1"/>
    <col min="9990" max="9990" width="18.85546875" style="8" customWidth="1"/>
    <col min="9991" max="9991" width="12.7109375" style="8" customWidth="1"/>
    <col min="9992" max="10239" width="9.140625" style="8"/>
    <col min="10240" max="10240" width="9.140625" style="8" customWidth="1"/>
    <col min="10241" max="10241" width="29" style="8" customWidth="1"/>
    <col min="10242" max="10242" width="16" style="8" customWidth="1"/>
    <col min="10243" max="10243" width="14.5703125" style="8" customWidth="1"/>
    <col min="10244" max="10244" width="2.42578125" style="8" customWidth="1"/>
    <col min="10245" max="10245" width="13.140625" style="8" customWidth="1"/>
    <col min="10246" max="10246" width="18.85546875" style="8" customWidth="1"/>
    <col min="10247" max="10247" width="12.7109375" style="8" customWidth="1"/>
    <col min="10248" max="10495" width="9.140625" style="8"/>
    <col min="10496" max="10496" width="9.140625" style="8" customWidth="1"/>
    <col min="10497" max="10497" width="29" style="8" customWidth="1"/>
    <col min="10498" max="10498" width="16" style="8" customWidth="1"/>
    <col min="10499" max="10499" width="14.5703125" style="8" customWidth="1"/>
    <col min="10500" max="10500" width="2.42578125" style="8" customWidth="1"/>
    <col min="10501" max="10501" width="13.140625" style="8" customWidth="1"/>
    <col min="10502" max="10502" width="18.85546875" style="8" customWidth="1"/>
    <col min="10503" max="10503" width="12.7109375" style="8" customWidth="1"/>
    <col min="10504" max="10751" width="9.140625" style="8"/>
    <col min="10752" max="10752" width="9.140625" style="8" customWidth="1"/>
    <col min="10753" max="10753" width="29" style="8" customWidth="1"/>
    <col min="10754" max="10754" width="16" style="8" customWidth="1"/>
    <col min="10755" max="10755" width="14.5703125" style="8" customWidth="1"/>
    <col min="10756" max="10756" width="2.42578125" style="8" customWidth="1"/>
    <col min="10757" max="10757" width="13.140625" style="8" customWidth="1"/>
    <col min="10758" max="10758" width="18.85546875" style="8" customWidth="1"/>
    <col min="10759" max="10759" width="12.7109375" style="8" customWidth="1"/>
    <col min="10760" max="11007" width="9.140625" style="8"/>
    <col min="11008" max="11008" width="9.140625" style="8" customWidth="1"/>
    <col min="11009" max="11009" width="29" style="8" customWidth="1"/>
    <col min="11010" max="11010" width="16" style="8" customWidth="1"/>
    <col min="11011" max="11011" width="14.5703125" style="8" customWidth="1"/>
    <col min="11012" max="11012" width="2.42578125" style="8" customWidth="1"/>
    <col min="11013" max="11013" width="13.140625" style="8" customWidth="1"/>
    <col min="11014" max="11014" width="18.85546875" style="8" customWidth="1"/>
    <col min="11015" max="11015" width="12.7109375" style="8" customWidth="1"/>
    <col min="11016" max="11263" width="9.140625" style="8"/>
    <col min="11264" max="11264" width="9.140625" style="8" customWidth="1"/>
    <col min="11265" max="11265" width="29" style="8" customWidth="1"/>
    <col min="11266" max="11266" width="16" style="8" customWidth="1"/>
    <col min="11267" max="11267" width="14.5703125" style="8" customWidth="1"/>
    <col min="11268" max="11268" width="2.42578125" style="8" customWidth="1"/>
    <col min="11269" max="11269" width="13.140625" style="8" customWidth="1"/>
    <col min="11270" max="11270" width="18.85546875" style="8" customWidth="1"/>
    <col min="11271" max="11271" width="12.7109375" style="8" customWidth="1"/>
    <col min="11272" max="11519" width="9.140625" style="8"/>
    <col min="11520" max="11520" width="9.140625" style="8" customWidth="1"/>
    <col min="11521" max="11521" width="29" style="8" customWidth="1"/>
    <col min="11522" max="11522" width="16" style="8" customWidth="1"/>
    <col min="11523" max="11523" width="14.5703125" style="8" customWidth="1"/>
    <col min="11524" max="11524" width="2.42578125" style="8" customWidth="1"/>
    <col min="11525" max="11525" width="13.140625" style="8" customWidth="1"/>
    <col min="11526" max="11526" width="18.85546875" style="8" customWidth="1"/>
    <col min="11527" max="11527" width="12.7109375" style="8" customWidth="1"/>
    <col min="11528" max="11775" width="9.140625" style="8"/>
    <col min="11776" max="11776" width="9.140625" style="8" customWidth="1"/>
    <col min="11777" max="11777" width="29" style="8" customWidth="1"/>
    <col min="11778" max="11778" width="16" style="8" customWidth="1"/>
    <col min="11779" max="11779" width="14.5703125" style="8" customWidth="1"/>
    <col min="11780" max="11780" width="2.42578125" style="8" customWidth="1"/>
    <col min="11781" max="11781" width="13.140625" style="8" customWidth="1"/>
    <col min="11782" max="11782" width="18.85546875" style="8" customWidth="1"/>
    <col min="11783" max="11783" width="12.7109375" style="8" customWidth="1"/>
    <col min="11784" max="12031" width="9.140625" style="8"/>
    <col min="12032" max="12032" width="9.140625" style="8" customWidth="1"/>
    <col min="12033" max="12033" width="29" style="8" customWidth="1"/>
    <col min="12034" max="12034" width="16" style="8" customWidth="1"/>
    <col min="12035" max="12035" width="14.5703125" style="8" customWidth="1"/>
    <col min="12036" max="12036" width="2.42578125" style="8" customWidth="1"/>
    <col min="12037" max="12037" width="13.140625" style="8" customWidth="1"/>
    <col min="12038" max="12038" width="18.85546875" style="8" customWidth="1"/>
    <col min="12039" max="12039" width="12.7109375" style="8" customWidth="1"/>
    <col min="12040" max="12287" width="9.140625" style="8"/>
    <col min="12288" max="12288" width="9.140625" style="8" customWidth="1"/>
    <col min="12289" max="12289" width="29" style="8" customWidth="1"/>
    <col min="12290" max="12290" width="16" style="8" customWidth="1"/>
    <col min="12291" max="12291" width="14.5703125" style="8" customWidth="1"/>
    <col min="12292" max="12292" width="2.42578125" style="8" customWidth="1"/>
    <col min="12293" max="12293" width="13.140625" style="8" customWidth="1"/>
    <col min="12294" max="12294" width="18.85546875" style="8" customWidth="1"/>
    <col min="12295" max="12295" width="12.7109375" style="8" customWidth="1"/>
    <col min="12296" max="12543" width="9.140625" style="8"/>
    <col min="12544" max="12544" width="9.140625" style="8" customWidth="1"/>
    <col min="12545" max="12545" width="29" style="8" customWidth="1"/>
    <col min="12546" max="12546" width="16" style="8" customWidth="1"/>
    <col min="12547" max="12547" width="14.5703125" style="8" customWidth="1"/>
    <col min="12548" max="12548" width="2.42578125" style="8" customWidth="1"/>
    <col min="12549" max="12549" width="13.140625" style="8" customWidth="1"/>
    <col min="12550" max="12550" width="18.85546875" style="8" customWidth="1"/>
    <col min="12551" max="12551" width="12.7109375" style="8" customWidth="1"/>
    <col min="12552" max="12799" width="9.140625" style="8"/>
    <col min="12800" max="12800" width="9.140625" style="8" customWidth="1"/>
    <col min="12801" max="12801" width="29" style="8" customWidth="1"/>
    <col min="12802" max="12802" width="16" style="8" customWidth="1"/>
    <col min="12803" max="12803" width="14.5703125" style="8" customWidth="1"/>
    <col min="12804" max="12804" width="2.42578125" style="8" customWidth="1"/>
    <col min="12805" max="12805" width="13.140625" style="8" customWidth="1"/>
    <col min="12806" max="12806" width="18.85546875" style="8" customWidth="1"/>
    <col min="12807" max="12807" width="12.7109375" style="8" customWidth="1"/>
    <col min="12808" max="13055" width="9.140625" style="8"/>
    <col min="13056" max="13056" width="9.140625" style="8" customWidth="1"/>
    <col min="13057" max="13057" width="29" style="8" customWidth="1"/>
    <col min="13058" max="13058" width="16" style="8" customWidth="1"/>
    <col min="13059" max="13059" width="14.5703125" style="8" customWidth="1"/>
    <col min="13060" max="13060" width="2.42578125" style="8" customWidth="1"/>
    <col min="13061" max="13061" width="13.140625" style="8" customWidth="1"/>
    <col min="13062" max="13062" width="18.85546875" style="8" customWidth="1"/>
    <col min="13063" max="13063" width="12.7109375" style="8" customWidth="1"/>
    <col min="13064" max="13311" width="9.140625" style="8"/>
    <col min="13312" max="13312" width="9.140625" style="8" customWidth="1"/>
    <col min="13313" max="13313" width="29" style="8" customWidth="1"/>
    <col min="13314" max="13314" width="16" style="8" customWidth="1"/>
    <col min="13315" max="13315" width="14.5703125" style="8" customWidth="1"/>
    <col min="13316" max="13316" width="2.42578125" style="8" customWidth="1"/>
    <col min="13317" max="13317" width="13.140625" style="8" customWidth="1"/>
    <col min="13318" max="13318" width="18.85546875" style="8" customWidth="1"/>
    <col min="13319" max="13319" width="12.7109375" style="8" customWidth="1"/>
    <col min="13320" max="13567" width="9.140625" style="8"/>
    <col min="13568" max="13568" width="9.140625" style="8" customWidth="1"/>
    <col min="13569" max="13569" width="29" style="8" customWidth="1"/>
    <col min="13570" max="13570" width="16" style="8" customWidth="1"/>
    <col min="13571" max="13571" width="14.5703125" style="8" customWidth="1"/>
    <col min="13572" max="13572" width="2.42578125" style="8" customWidth="1"/>
    <col min="13573" max="13573" width="13.140625" style="8" customWidth="1"/>
    <col min="13574" max="13574" width="18.85546875" style="8" customWidth="1"/>
    <col min="13575" max="13575" width="12.7109375" style="8" customWidth="1"/>
    <col min="13576" max="13823" width="9.140625" style="8"/>
    <col min="13824" max="13824" width="9.140625" style="8" customWidth="1"/>
    <col min="13825" max="13825" width="29" style="8" customWidth="1"/>
    <col min="13826" max="13826" width="16" style="8" customWidth="1"/>
    <col min="13827" max="13827" width="14.5703125" style="8" customWidth="1"/>
    <col min="13828" max="13828" width="2.42578125" style="8" customWidth="1"/>
    <col min="13829" max="13829" width="13.140625" style="8" customWidth="1"/>
    <col min="13830" max="13830" width="18.85546875" style="8" customWidth="1"/>
    <col min="13831" max="13831" width="12.7109375" style="8" customWidth="1"/>
    <col min="13832" max="14079" width="9.140625" style="8"/>
    <col min="14080" max="14080" width="9.140625" style="8" customWidth="1"/>
    <col min="14081" max="14081" width="29" style="8" customWidth="1"/>
    <col min="14082" max="14082" width="16" style="8" customWidth="1"/>
    <col min="14083" max="14083" width="14.5703125" style="8" customWidth="1"/>
    <col min="14084" max="14084" width="2.42578125" style="8" customWidth="1"/>
    <col min="14085" max="14085" width="13.140625" style="8" customWidth="1"/>
    <col min="14086" max="14086" width="18.85546875" style="8" customWidth="1"/>
    <col min="14087" max="14087" width="12.7109375" style="8" customWidth="1"/>
    <col min="14088" max="14335" width="9.140625" style="8"/>
    <col min="14336" max="14336" width="9.140625" style="8" customWidth="1"/>
    <col min="14337" max="14337" width="29" style="8" customWidth="1"/>
    <col min="14338" max="14338" width="16" style="8" customWidth="1"/>
    <col min="14339" max="14339" width="14.5703125" style="8" customWidth="1"/>
    <col min="14340" max="14340" width="2.42578125" style="8" customWidth="1"/>
    <col min="14341" max="14341" width="13.140625" style="8" customWidth="1"/>
    <col min="14342" max="14342" width="18.85546875" style="8" customWidth="1"/>
    <col min="14343" max="14343" width="12.7109375" style="8" customWidth="1"/>
    <col min="14344" max="14591" width="9.140625" style="8"/>
    <col min="14592" max="14592" width="9.140625" style="8" customWidth="1"/>
    <col min="14593" max="14593" width="29" style="8" customWidth="1"/>
    <col min="14594" max="14594" width="16" style="8" customWidth="1"/>
    <col min="14595" max="14595" width="14.5703125" style="8" customWidth="1"/>
    <col min="14596" max="14596" width="2.42578125" style="8" customWidth="1"/>
    <col min="14597" max="14597" width="13.140625" style="8" customWidth="1"/>
    <col min="14598" max="14598" width="18.85546875" style="8" customWidth="1"/>
    <col min="14599" max="14599" width="12.7109375" style="8" customWidth="1"/>
    <col min="14600" max="14847" width="9.140625" style="8"/>
    <col min="14848" max="14848" width="9.140625" style="8" customWidth="1"/>
    <col min="14849" max="14849" width="29" style="8" customWidth="1"/>
    <col min="14850" max="14850" width="16" style="8" customWidth="1"/>
    <col min="14851" max="14851" width="14.5703125" style="8" customWidth="1"/>
    <col min="14852" max="14852" width="2.42578125" style="8" customWidth="1"/>
    <col min="14853" max="14853" width="13.140625" style="8" customWidth="1"/>
    <col min="14854" max="14854" width="18.85546875" style="8" customWidth="1"/>
    <col min="14855" max="14855" width="12.7109375" style="8" customWidth="1"/>
    <col min="14856" max="15103" width="9.140625" style="8"/>
    <col min="15104" max="15104" width="9.140625" style="8" customWidth="1"/>
    <col min="15105" max="15105" width="29" style="8" customWidth="1"/>
    <col min="15106" max="15106" width="16" style="8" customWidth="1"/>
    <col min="15107" max="15107" width="14.5703125" style="8" customWidth="1"/>
    <col min="15108" max="15108" width="2.42578125" style="8" customWidth="1"/>
    <col min="15109" max="15109" width="13.140625" style="8" customWidth="1"/>
    <col min="15110" max="15110" width="18.85546875" style="8" customWidth="1"/>
    <col min="15111" max="15111" width="12.7109375" style="8" customWidth="1"/>
    <col min="15112" max="15359" width="9.140625" style="8"/>
    <col min="15360" max="15360" width="9.140625" style="8" customWidth="1"/>
    <col min="15361" max="15361" width="29" style="8" customWidth="1"/>
    <col min="15362" max="15362" width="16" style="8" customWidth="1"/>
    <col min="15363" max="15363" width="14.5703125" style="8" customWidth="1"/>
    <col min="15364" max="15364" width="2.42578125" style="8" customWidth="1"/>
    <col min="15365" max="15365" width="13.140625" style="8" customWidth="1"/>
    <col min="15366" max="15366" width="18.85546875" style="8" customWidth="1"/>
    <col min="15367" max="15367" width="12.7109375" style="8" customWidth="1"/>
    <col min="15368" max="15615" width="9.140625" style="8"/>
    <col min="15616" max="15616" width="9.140625" style="8" customWidth="1"/>
    <col min="15617" max="15617" width="29" style="8" customWidth="1"/>
    <col min="15618" max="15618" width="16" style="8" customWidth="1"/>
    <col min="15619" max="15619" width="14.5703125" style="8" customWidth="1"/>
    <col min="15620" max="15620" width="2.42578125" style="8" customWidth="1"/>
    <col min="15621" max="15621" width="13.140625" style="8" customWidth="1"/>
    <col min="15622" max="15622" width="18.85546875" style="8" customWidth="1"/>
    <col min="15623" max="15623" width="12.7109375" style="8" customWidth="1"/>
    <col min="15624" max="15871" width="9.140625" style="8"/>
    <col min="15872" max="15872" width="9.140625" style="8" customWidth="1"/>
    <col min="15873" max="15873" width="29" style="8" customWidth="1"/>
    <col min="15874" max="15874" width="16" style="8" customWidth="1"/>
    <col min="15875" max="15875" width="14.5703125" style="8" customWidth="1"/>
    <col min="15876" max="15876" width="2.42578125" style="8" customWidth="1"/>
    <col min="15877" max="15877" width="13.140625" style="8" customWidth="1"/>
    <col min="15878" max="15878" width="18.85546875" style="8" customWidth="1"/>
    <col min="15879" max="15879" width="12.7109375" style="8" customWidth="1"/>
    <col min="15880" max="16127" width="9.140625" style="8"/>
    <col min="16128" max="16128" width="9.140625" style="8" customWidth="1"/>
    <col min="16129" max="16129" width="29" style="8" customWidth="1"/>
    <col min="16130" max="16130" width="16" style="8" customWidth="1"/>
    <col min="16131" max="16131" width="14.5703125" style="8" customWidth="1"/>
    <col min="16132" max="16132" width="2.42578125" style="8" customWidth="1"/>
    <col min="16133" max="16133" width="13.140625" style="8" customWidth="1"/>
    <col min="16134" max="16134" width="18.85546875" style="8" customWidth="1"/>
    <col min="16135" max="16135" width="12.7109375" style="8" customWidth="1"/>
    <col min="16136" max="16384" width="9.140625" style="8"/>
  </cols>
  <sheetData>
    <row r="1" spans="1:7" ht="20.25" x14ac:dyDescent="0.3">
      <c r="A1" s="46" t="s">
        <v>93</v>
      </c>
      <c r="B1" s="51"/>
      <c r="C1" s="51"/>
      <c r="D1" s="51"/>
      <c r="E1" s="51"/>
      <c r="F1" s="51"/>
      <c r="G1" s="13"/>
    </row>
    <row r="2" spans="1:7" ht="20.25" x14ac:dyDescent="0.3">
      <c r="A2" s="33"/>
      <c r="B2" s="51"/>
      <c r="C2" s="51"/>
      <c r="D2" s="51"/>
      <c r="E2" s="51"/>
      <c r="F2" s="51"/>
      <c r="G2" s="13"/>
    </row>
    <row r="3" spans="1:7" ht="20.25" x14ac:dyDescent="0.3">
      <c r="A3" s="46" t="s">
        <v>21</v>
      </c>
      <c r="B3" s="46" t="s">
        <v>20</v>
      </c>
      <c r="C3" s="46" t="s">
        <v>19</v>
      </c>
      <c r="D3" s="51"/>
      <c r="E3" s="46" t="s">
        <v>18</v>
      </c>
      <c r="F3" s="46" t="s">
        <v>17</v>
      </c>
      <c r="G3" s="13"/>
    </row>
    <row r="4" spans="1:7" ht="23.25" x14ac:dyDescent="0.4">
      <c r="A4" s="42" t="s">
        <v>92</v>
      </c>
      <c r="B4" s="50" t="s">
        <v>91</v>
      </c>
      <c r="C4" s="45">
        <v>0.5</v>
      </c>
      <c r="D4" s="45"/>
      <c r="E4" s="50" t="s">
        <v>14</v>
      </c>
      <c r="F4" s="45">
        <f>((LN((C4)/(C5)))+(C6-C9+0.5*C7^2)*C8)/(C7*C8^0.5)</f>
        <v>0.13133573032668661</v>
      </c>
    </row>
    <row r="5" spans="1:7" ht="20.25" x14ac:dyDescent="0.3">
      <c r="A5" s="42" t="s">
        <v>13</v>
      </c>
      <c r="B5" s="50" t="s">
        <v>12</v>
      </c>
      <c r="C5" s="45">
        <v>0.45</v>
      </c>
      <c r="D5" s="45"/>
      <c r="E5" s="50" t="s">
        <v>11</v>
      </c>
      <c r="F5" s="45">
        <f>F4-C7*C8^0.5</f>
        <v>-8.0796304029277649E-2</v>
      </c>
    </row>
    <row r="6" spans="1:7" ht="20.25" x14ac:dyDescent="0.3">
      <c r="A6" s="42" t="s">
        <v>90</v>
      </c>
      <c r="B6" s="50" t="s">
        <v>89</v>
      </c>
      <c r="C6" s="45">
        <v>0.03</v>
      </c>
      <c r="D6" s="45"/>
      <c r="E6" s="50" t="s">
        <v>8</v>
      </c>
      <c r="F6" s="45">
        <f>NORMDIST(F4,0,1,1)</f>
        <v>0.55224513606692172</v>
      </c>
    </row>
    <row r="7" spans="1:7" ht="20.25" x14ac:dyDescent="0.3">
      <c r="A7" s="42" t="s">
        <v>7</v>
      </c>
      <c r="B7" s="50" t="s">
        <v>6</v>
      </c>
      <c r="C7" s="45">
        <v>0.15</v>
      </c>
      <c r="D7" s="45"/>
      <c r="E7" s="50" t="s">
        <v>5</v>
      </c>
      <c r="F7" s="45">
        <f>NORMDIST(F5,0,1,1)</f>
        <v>0.46780197370949589</v>
      </c>
    </row>
    <row r="8" spans="1:7" ht="20.25" x14ac:dyDescent="0.3">
      <c r="A8" s="42" t="s">
        <v>4</v>
      </c>
      <c r="B8" s="50" t="s">
        <v>3</v>
      </c>
      <c r="C8" s="45">
        <v>2</v>
      </c>
      <c r="D8" s="45"/>
      <c r="E8" s="50" t="s">
        <v>2</v>
      </c>
      <c r="F8" s="45">
        <f>C4*2.7182818^(-C9*C8)*F6-C5*2.7182818^(-C6*C8)*F7</f>
        <v>3.7044443201585731E-2</v>
      </c>
    </row>
    <row r="9" spans="1:7" ht="20.25" x14ac:dyDescent="0.3">
      <c r="A9" s="42" t="s">
        <v>88</v>
      </c>
      <c r="B9" s="52" t="s">
        <v>87</v>
      </c>
      <c r="C9" s="45">
        <v>0.08</v>
      </c>
      <c r="D9" s="45"/>
      <c r="E9" s="46" t="s">
        <v>75</v>
      </c>
      <c r="F9" s="45">
        <f>F8+C5*2.718^(-C6*C8)-C4*2.718^(-C9*C8)</f>
        <v>3.476215691492307E-2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1</xdr:col>
                <xdr:colOff>381000</xdr:colOff>
                <xdr:row>10</xdr:row>
                <xdr:rowOff>28575</xdr:rowOff>
              </from>
              <to>
                <xdr:col>4</xdr:col>
                <xdr:colOff>666750</xdr:colOff>
                <xdr:row>12</xdr:row>
                <xdr:rowOff>152400</xdr:rowOff>
              </to>
            </anchor>
          </objectPr>
        </oleObject>
      </mc:Choice>
      <mc:Fallback>
        <oleObject progId="Equation.3" shapeId="9217" r:id="rId4"/>
      </mc:Fallback>
    </mc:AlternateContent>
    <mc:AlternateContent xmlns:mc="http://schemas.openxmlformats.org/markup-compatibility/2006">
      <mc:Choice Requires="x14">
        <oleObject progId="Equation.3" shapeId="9218" r:id="rId6">
          <objectPr defaultSize="0" autoPict="0" r:id="rId7">
            <anchor moveWithCells="1" sizeWithCells="1">
              <from>
                <xdr:col>2</xdr:col>
                <xdr:colOff>85725</xdr:colOff>
                <xdr:row>17</xdr:row>
                <xdr:rowOff>104775</xdr:rowOff>
              </from>
              <to>
                <xdr:col>3</xdr:col>
                <xdr:colOff>28575</xdr:colOff>
                <xdr:row>19</xdr:row>
                <xdr:rowOff>9525</xdr:rowOff>
              </to>
            </anchor>
          </objectPr>
        </oleObject>
      </mc:Choice>
      <mc:Fallback>
        <oleObject progId="Equation.3" shapeId="9218" r:id="rId6"/>
      </mc:Fallback>
    </mc:AlternateContent>
    <mc:AlternateContent xmlns:mc="http://schemas.openxmlformats.org/markup-compatibility/2006">
      <mc:Choice Requires="x14">
        <oleObject progId="Equation.3" shapeId="9219" r:id="rId8">
          <objectPr defaultSize="0" autoPict="0" r:id="rId9">
            <anchor moveWithCells="1" sizeWithCells="1">
              <from>
                <xdr:col>1</xdr:col>
                <xdr:colOff>561975</xdr:colOff>
                <xdr:row>12</xdr:row>
                <xdr:rowOff>133350</xdr:rowOff>
              </from>
              <to>
                <xdr:col>4</xdr:col>
                <xdr:colOff>561975</xdr:colOff>
                <xdr:row>17</xdr:row>
                <xdr:rowOff>0</xdr:rowOff>
              </to>
            </anchor>
          </objectPr>
        </oleObject>
      </mc:Choice>
      <mc:Fallback>
        <oleObject progId="Equation.3" shapeId="9219" r:id="rId8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2"/>
  <sheetViews>
    <sheetView workbookViewId="0">
      <selection activeCell="A2" sqref="A2"/>
    </sheetView>
  </sheetViews>
  <sheetFormatPr defaultRowHeight="12.75" x14ac:dyDescent="0.2"/>
  <cols>
    <col min="1" max="1" width="18.28515625" style="8" customWidth="1"/>
    <col min="2" max="2" width="9.140625" style="8"/>
    <col min="3" max="3" width="6.42578125" style="8" customWidth="1"/>
    <col min="4" max="4" width="2.5703125" style="8" customWidth="1"/>
    <col min="5" max="5" width="15" style="8" customWidth="1"/>
    <col min="6" max="6" width="9.140625" style="8"/>
    <col min="7" max="7" width="3.7109375" style="8" customWidth="1"/>
    <col min="8" max="8" width="18.140625" style="8" customWidth="1"/>
    <col min="9" max="9" width="8.42578125" style="8" customWidth="1"/>
    <col min="10" max="10" width="6.28515625" style="8" customWidth="1"/>
    <col min="11" max="11" width="3" style="8" customWidth="1"/>
    <col min="12" max="12" width="15.140625" style="8" customWidth="1"/>
    <col min="13" max="256" width="9.140625" style="8"/>
    <col min="257" max="257" width="18.28515625" style="8" customWidth="1"/>
    <col min="258" max="258" width="9.140625" style="8"/>
    <col min="259" max="259" width="6.42578125" style="8" customWidth="1"/>
    <col min="260" max="260" width="2.5703125" style="8" customWidth="1"/>
    <col min="261" max="261" width="15" style="8" customWidth="1"/>
    <col min="262" max="262" width="9.140625" style="8"/>
    <col min="263" max="263" width="3.7109375" style="8" customWidth="1"/>
    <col min="264" max="264" width="18.140625" style="8" customWidth="1"/>
    <col min="265" max="265" width="8.42578125" style="8" customWidth="1"/>
    <col min="266" max="266" width="6.28515625" style="8" customWidth="1"/>
    <col min="267" max="267" width="3" style="8" customWidth="1"/>
    <col min="268" max="268" width="15.140625" style="8" customWidth="1"/>
    <col min="269" max="512" width="9.140625" style="8"/>
    <col min="513" max="513" width="18.28515625" style="8" customWidth="1"/>
    <col min="514" max="514" width="9.140625" style="8"/>
    <col min="515" max="515" width="6.42578125" style="8" customWidth="1"/>
    <col min="516" max="516" width="2.5703125" style="8" customWidth="1"/>
    <col min="517" max="517" width="15" style="8" customWidth="1"/>
    <col min="518" max="518" width="9.140625" style="8"/>
    <col min="519" max="519" width="3.7109375" style="8" customWidth="1"/>
    <col min="520" max="520" width="18.140625" style="8" customWidth="1"/>
    <col min="521" max="521" width="8.42578125" style="8" customWidth="1"/>
    <col min="522" max="522" width="6.28515625" style="8" customWidth="1"/>
    <col min="523" max="523" width="3" style="8" customWidth="1"/>
    <col min="524" max="524" width="15.140625" style="8" customWidth="1"/>
    <col min="525" max="768" width="9.140625" style="8"/>
    <col min="769" max="769" width="18.28515625" style="8" customWidth="1"/>
    <col min="770" max="770" width="9.140625" style="8"/>
    <col min="771" max="771" width="6.42578125" style="8" customWidth="1"/>
    <col min="772" max="772" width="2.5703125" style="8" customWidth="1"/>
    <col min="773" max="773" width="15" style="8" customWidth="1"/>
    <col min="774" max="774" width="9.140625" style="8"/>
    <col min="775" max="775" width="3.7109375" style="8" customWidth="1"/>
    <col min="776" max="776" width="18.140625" style="8" customWidth="1"/>
    <col min="777" max="777" width="8.42578125" style="8" customWidth="1"/>
    <col min="778" max="778" width="6.28515625" style="8" customWidth="1"/>
    <col min="779" max="779" width="3" style="8" customWidth="1"/>
    <col min="780" max="780" width="15.140625" style="8" customWidth="1"/>
    <col min="781" max="1024" width="9.140625" style="8"/>
    <col min="1025" max="1025" width="18.28515625" style="8" customWidth="1"/>
    <col min="1026" max="1026" width="9.140625" style="8"/>
    <col min="1027" max="1027" width="6.42578125" style="8" customWidth="1"/>
    <col min="1028" max="1028" width="2.5703125" style="8" customWidth="1"/>
    <col min="1029" max="1029" width="15" style="8" customWidth="1"/>
    <col min="1030" max="1030" width="9.140625" style="8"/>
    <col min="1031" max="1031" width="3.7109375" style="8" customWidth="1"/>
    <col min="1032" max="1032" width="18.140625" style="8" customWidth="1"/>
    <col min="1033" max="1033" width="8.42578125" style="8" customWidth="1"/>
    <col min="1034" max="1034" width="6.28515625" style="8" customWidth="1"/>
    <col min="1035" max="1035" width="3" style="8" customWidth="1"/>
    <col min="1036" max="1036" width="15.140625" style="8" customWidth="1"/>
    <col min="1037" max="1280" width="9.140625" style="8"/>
    <col min="1281" max="1281" width="18.28515625" style="8" customWidth="1"/>
    <col min="1282" max="1282" width="9.140625" style="8"/>
    <col min="1283" max="1283" width="6.42578125" style="8" customWidth="1"/>
    <col min="1284" max="1284" width="2.5703125" style="8" customWidth="1"/>
    <col min="1285" max="1285" width="15" style="8" customWidth="1"/>
    <col min="1286" max="1286" width="9.140625" style="8"/>
    <col min="1287" max="1287" width="3.7109375" style="8" customWidth="1"/>
    <col min="1288" max="1288" width="18.140625" style="8" customWidth="1"/>
    <col min="1289" max="1289" width="8.42578125" style="8" customWidth="1"/>
    <col min="1290" max="1290" width="6.28515625" style="8" customWidth="1"/>
    <col min="1291" max="1291" width="3" style="8" customWidth="1"/>
    <col min="1292" max="1292" width="15.140625" style="8" customWidth="1"/>
    <col min="1293" max="1536" width="9.140625" style="8"/>
    <col min="1537" max="1537" width="18.28515625" style="8" customWidth="1"/>
    <col min="1538" max="1538" width="9.140625" style="8"/>
    <col min="1539" max="1539" width="6.42578125" style="8" customWidth="1"/>
    <col min="1540" max="1540" width="2.5703125" style="8" customWidth="1"/>
    <col min="1541" max="1541" width="15" style="8" customWidth="1"/>
    <col min="1542" max="1542" width="9.140625" style="8"/>
    <col min="1543" max="1543" width="3.7109375" style="8" customWidth="1"/>
    <col min="1544" max="1544" width="18.140625" style="8" customWidth="1"/>
    <col min="1545" max="1545" width="8.42578125" style="8" customWidth="1"/>
    <col min="1546" max="1546" width="6.28515625" style="8" customWidth="1"/>
    <col min="1547" max="1547" width="3" style="8" customWidth="1"/>
    <col min="1548" max="1548" width="15.140625" style="8" customWidth="1"/>
    <col min="1549" max="1792" width="9.140625" style="8"/>
    <col min="1793" max="1793" width="18.28515625" style="8" customWidth="1"/>
    <col min="1794" max="1794" width="9.140625" style="8"/>
    <col min="1795" max="1795" width="6.42578125" style="8" customWidth="1"/>
    <col min="1796" max="1796" width="2.5703125" style="8" customWidth="1"/>
    <col min="1797" max="1797" width="15" style="8" customWidth="1"/>
    <col min="1798" max="1798" width="9.140625" style="8"/>
    <col min="1799" max="1799" width="3.7109375" style="8" customWidth="1"/>
    <col min="1800" max="1800" width="18.140625" style="8" customWidth="1"/>
    <col min="1801" max="1801" width="8.42578125" style="8" customWidth="1"/>
    <col min="1802" max="1802" width="6.28515625" style="8" customWidth="1"/>
    <col min="1803" max="1803" width="3" style="8" customWidth="1"/>
    <col min="1804" max="1804" width="15.140625" style="8" customWidth="1"/>
    <col min="1805" max="2048" width="9.140625" style="8"/>
    <col min="2049" max="2049" width="18.28515625" style="8" customWidth="1"/>
    <col min="2050" max="2050" width="9.140625" style="8"/>
    <col min="2051" max="2051" width="6.42578125" style="8" customWidth="1"/>
    <col min="2052" max="2052" width="2.5703125" style="8" customWidth="1"/>
    <col min="2053" max="2053" width="15" style="8" customWidth="1"/>
    <col min="2054" max="2054" width="9.140625" style="8"/>
    <col min="2055" max="2055" width="3.7109375" style="8" customWidth="1"/>
    <col min="2056" max="2056" width="18.140625" style="8" customWidth="1"/>
    <col min="2057" max="2057" width="8.42578125" style="8" customWidth="1"/>
    <col min="2058" max="2058" width="6.28515625" style="8" customWidth="1"/>
    <col min="2059" max="2059" width="3" style="8" customWidth="1"/>
    <col min="2060" max="2060" width="15.140625" style="8" customWidth="1"/>
    <col min="2061" max="2304" width="9.140625" style="8"/>
    <col min="2305" max="2305" width="18.28515625" style="8" customWidth="1"/>
    <col min="2306" max="2306" width="9.140625" style="8"/>
    <col min="2307" max="2307" width="6.42578125" style="8" customWidth="1"/>
    <col min="2308" max="2308" width="2.5703125" style="8" customWidth="1"/>
    <col min="2309" max="2309" width="15" style="8" customWidth="1"/>
    <col min="2310" max="2310" width="9.140625" style="8"/>
    <col min="2311" max="2311" width="3.7109375" style="8" customWidth="1"/>
    <col min="2312" max="2312" width="18.140625" style="8" customWidth="1"/>
    <col min="2313" max="2313" width="8.42578125" style="8" customWidth="1"/>
    <col min="2314" max="2314" width="6.28515625" style="8" customWidth="1"/>
    <col min="2315" max="2315" width="3" style="8" customWidth="1"/>
    <col min="2316" max="2316" width="15.140625" style="8" customWidth="1"/>
    <col min="2317" max="2560" width="9.140625" style="8"/>
    <col min="2561" max="2561" width="18.28515625" style="8" customWidth="1"/>
    <col min="2562" max="2562" width="9.140625" style="8"/>
    <col min="2563" max="2563" width="6.42578125" style="8" customWidth="1"/>
    <col min="2564" max="2564" width="2.5703125" style="8" customWidth="1"/>
    <col min="2565" max="2565" width="15" style="8" customWidth="1"/>
    <col min="2566" max="2566" width="9.140625" style="8"/>
    <col min="2567" max="2567" width="3.7109375" style="8" customWidth="1"/>
    <col min="2568" max="2568" width="18.140625" style="8" customWidth="1"/>
    <col min="2569" max="2569" width="8.42578125" style="8" customWidth="1"/>
    <col min="2570" max="2570" width="6.28515625" style="8" customWidth="1"/>
    <col min="2571" max="2571" width="3" style="8" customWidth="1"/>
    <col min="2572" max="2572" width="15.140625" style="8" customWidth="1"/>
    <col min="2573" max="2816" width="9.140625" style="8"/>
    <col min="2817" max="2817" width="18.28515625" style="8" customWidth="1"/>
    <col min="2818" max="2818" width="9.140625" style="8"/>
    <col min="2819" max="2819" width="6.42578125" style="8" customWidth="1"/>
    <col min="2820" max="2820" width="2.5703125" style="8" customWidth="1"/>
    <col min="2821" max="2821" width="15" style="8" customWidth="1"/>
    <col min="2822" max="2822" width="9.140625" style="8"/>
    <col min="2823" max="2823" width="3.7109375" style="8" customWidth="1"/>
    <col min="2824" max="2824" width="18.140625" style="8" customWidth="1"/>
    <col min="2825" max="2825" width="8.42578125" style="8" customWidth="1"/>
    <col min="2826" max="2826" width="6.28515625" style="8" customWidth="1"/>
    <col min="2827" max="2827" width="3" style="8" customWidth="1"/>
    <col min="2828" max="2828" width="15.140625" style="8" customWidth="1"/>
    <col min="2829" max="3072" width="9.140625" style="8"/>
    <col min="3073" max="3073" width="18.28515625" style="8" customWidth="1"/>
    <col min="3074" max="3074" width="9.140625" style="8"/>
    <col min="3075" max="3075" width="6.42578125" style="8" customWidth="1"/>
    <col min="3076" max="3076" width="2.5703125" style="8" customWidth="1"/>
    <col min="3077" max="3077" width="15" style="8" customWidth="1"/>
    <col min="3078" max="3078" width="9.140625" style="8"/>
    <col min="3079" max="3079" width="3.7109375" style="8" customWidth="1"/>
    <col min="3080" max="3080" width="18.140625" style="8" customWidth="1"/>
    <col min="3081" max="3081" width="8.42578125" style="8" customWidth="1"/>
    <col min="3082" max="3082" width="6.28515625" style="8" customWidth="1"/>
    <col min="3083" max="3083" width="3" style="8" customWidth="1"/>
    <col min="3084" max="3084" width="15.140625" style="8" customWidth="1"/>
    <col min="3085" max="3328" width="9.140625" style="8"/>
    <col min="3329" max="3329" width="18.28515625" style="8" customWidth="1"/>
    <col min="3330" max="3330" width="9.140625" style="8"/>
    <col min="3331" max="3331" width="6.42578125" style="8" customWidth="1"/>
    <col min="3332" max="3332" width="2.5703125" style="8" customWidth="1"/>
    <col min="3333" max="3333" width="15" style="8" customWidth="1"/>
    <col min="3334" max="3334" width="9.140625" style="8"/>
    <col min="3335" max="3335" width="3.7109375" style="8" customWidth="1"/>
    <col min="3336" max="3336" width="18.140625" style="8" customWidth="1"/>
    <col min="3337" max="3337" width="8.42578125" style="8" customWidth="1"/>
    <col min="3338" max="3338" width="6.28515625" style="8" customWidth="1"/>
    <col min="3339" max="3339" width="3" style="8" customWidth="1"/>
    <col min="3340" max="3340" width="15.140625" style="8" customWidth="1"/>
    <col min="3341" max="3584" width="9.140625" style="8"/>
    <col min="3585" max="3585" width="18.28515625" style="8" customWidth="1"/>
    <col min="3586" max="3586" width="9.140625" style="8"/>
    <col min="3587" max="3587" width="6.42578125" style="8" customWidth="1"/>
    <col min="3588" max="3588" width="2.5703125" style="8" customWidth="1"/>
    <col min="3589" max="3589" width="15" style="8" customWidth="1"/>
    <col min="3590" max="3590" width="9.140625" style="8"/>
    <col min="3591" max="3591" width="3.7109375" style="8" customWidth="1"/>
    <col min="3592" max="3592" width="18.140625" style="8" customWidth="1"/>
    <col min="3593" max="3593" width="8.42578125" style="8" customWidth="1"/>
    <col min="3594" max="3594" width="6.28515625" style="8" customWidth="1"/>
    <col min="3595" max="3595" width="3" style="8" customWidth="1"/>
    <col min="3596" max="3596" width="15.140625" style="8" customWidth="1"/>
    <col min="3597" max="3840" width="9.140625" style="8"/>
    <col min="3841" max="3841" width="18.28515625" style="8" customWidth="1"/>
    <col min="3842" max="3842" width="9.140625" style="8"/>
    <col min="3843" max="3843" width="6.42578125" style="8" customWidth="1"/>
    <col min="3844" max="3844" width="2.5703125" style="8" customWidth="1"/>
    <col min="3845" max="3845" width="15" style="8" customWidth="1"/>
    <col min="3846" max="3846" width="9.140625" style="8"/>
    <col min="3847" max="3847" width="3.7109375" style="8" customWidth="1"/>
    <col min="3848" max="3848" width="18.140625" style="8" customWidth="1"/>
    <col min="3849" max="3849" width="8.42578125" style="8" customWidth="1"/>
    <col min="3850" max="3850" width="6.28515625" style="8" customWidth="1"/>
    <col min="3851" max="3851" width="3" style="8" customWidth="1"/>
    <col min="3852" max="3852" width="15.140625" style="8" customWidth="1"/>
    <col min="3853" max="4096" width="9.140625" style="8"/>
    <col min="4097" max="4097" width="18.28515625" style="8" customWidth="1"/>
    <col min="4098" max="4098" width="9.140625" style="8"/>
    <col min="4099" max="4099" width="6.42578125" style="8" customWidth="1"/>
    <col min="4100" max="4100" width="2.5703125" style="8" customWidth="1"/>
    <col min="4101" max="4101" width="15" style="8" customWidth="1"/>
    <col min="4102" max="4102" width="9.140625" style="8"/>
    <col min="4103" max="4103" width="3.7109375" style="8" customWidth="1"/>
    <col min="4104" max="4104" width="18.140625" style="8" customWidth="1"/>
    <col min="4105" max="4105" width="8.42578125" style="8" customWidth="1"/>
    <col min="4106" max="4106" width="6.28515625" style="8" customWidth="1"/>
    <col min="4107" max="4107" width="3" style="8" customWidth="1"/>
    <col min="4108" max="4108" width="15.140625" style="8" customWidth="1"/>
    <col min="4109" max="4352" width="9.140625" style="8"/>
    <col min="4353" max="4353" width="18.28515625" style="8" customWidth="1"/>
    <col min="4354" max="4354" width="9.140625" style="8"/>
    <col min="4355" max="4355" width="6.42578125" style="8" customWidth="1"/>
    <col min="4356" max="4356" width="2.5703125" style="8" customWidth="1"/>
    <col min="4357" max="4357" width="15" style="8" customWidth="1"/>
    <col min="4358" max="4358" width="9.140625" style="8"/>
    <col min="4359" max="4359" width="3.7109375" style="8" customWidth="1"/>
    <col min="4360" max="4360" width="18.140625" style="8" customWidth="1"/>
    <col min="4361" max="4361" width="8.42578125" style="8" customWidth="1"/>
    <col min="4362" max="4362" width="6.28515625" style="8" customWidth="1"/>
    <col min="4363" max="4363" width="3" style="8" customWidth="1"/>
    <col min="4364" max="4364" width="15.140625" style="8" customWidth="1"/>
    <col min="4365" max="4608" width="9.140625" style="8"/>
    <col min="4609" max="4609" width="18.28515625" style="8" customWidth="1"/>
    <col min="4610" max="4610" width="9.140625" style="8"/>
    <col min="4611" max="4611" width="6.42578125" style="8" customWidth="1"/>
    <col min="4612" max="4612" width="2.5703125" style="8" customWidth="1"/>
    <col min="4613" max="4613" width="15" style="8" customWidth="1"/>
    <col min="4614" max="4614" width="9.140625" style="8"/>
    <col min="4615" max="4615" width="3.7109375" style="8" customWidth="1"/>
    <col min="4616" max="4616" width="18.140625" style="8" customWidth="1"/>
    <col min="4617" max="4617" width="8.42578125" style="8" customWidth="1"/>
    <col min="4618" max="4618" width="6.28515625" style="8" customWidth="1"/>
    <col min="4619" max="4619" width="3" style="8" customWidth="1"/>
    <col min="4620" max="4620" width="15.140625" style="8" customWidth="1"/>
    <col min="4621" max="4864" width="9.140625" style="8"/>
    <col min="4865" max="4865" width="18.28515625" style="8" customWidth="1"/>
    <col min="4866" max="4866" width="9.140625" style="8"/>
    <col min="4867" max="4867" width="6.42578125" style="8" customWidth="1"/>
    <col min="4868" max="4868" width="2.5703125" style="8" customWidth="1"/>
    <col min="4869" max="4869" width="15" style="8" customWidth="1"/>
    <col min="4870" max="4870" width="9.140625" style="8"/>
    <col min="4871" max="4871" width="3.7109375" style="8" customWidth="1"/>
    <col min="4872" max="4872" width="18.140625" style="8" customWidth="1"/>
    <col min="4873" max="4873" width="8.42578125" style="8" customWidth="1"/>
    <col min="4874" max="4874" width="6.28515625" style="8" customWidth="1"/>
    <col min="4875" max="4875" width="3" style="8" customWidth="1"/>
    <col min="4876" max="4876" width="15.140625" style="8" customWidth="1"/>
    <col min="4877" max="5120" width="9.140625" style="8"/>
    <col min="5121" max="5121" width="18.28515625" style="8" customWidth="1"/>
    <col min="5122" max="5122" width="9.140625" style="8"/>
    <col min="5123" max="5123" width="6.42578125" style="8" customWidth="1"/>
    <col min="5124" max="5124" width="2.5703125" style="8" customWidth="1"/>
    <col min="5125" max="5125" width="15" style="8" customWidth="1"/>
    <col min="5126" max="5126" width="9.140625" style="8"/>
    <col min="5127" max="5127" width="3.7109375" style="8" customWidth="1"/>
    <col min="5128" max="5128" width="18.140625" style="8" customWidth="1"/>
    <col min="5129" max="5129" width="8.42578125" style="8" customWidth="1"/>
    <col min="5130" max="5130" width="6.28515625" style="8" customWidth="1"/>
    <col min="5131" max="5131" width="3" style="8" customWidth="1"/>
    <col min="5132" max="5132" width="15.140625" style="8" customWidth="1"/>
    <col min="5133" max="5376" width="9.140625" style="8"/>
    <col min="5377" max="5377" width="18.28515625" style="8" customWidth="1"/>
    <col min="5378" max="5378" width="9.140625" style="8"/>
    <col min="5379" max="5379" width="6.42578125" style="8" customWidth="1"/>
    <col min="5380" max="5380" width="2.5703125" style="8" customWidth="1"/>
    <col min="5381" max="5381" width="15" style="8" customWidth="1"/>
    <col min="5382" max="5382" width="9.140625" style="8"/>
    <col min="5383" max="5383" width="3.7109375" style="8" customWidth="1"/>
    <col min="5384" max="5384" width="18.140625" style="8" customWidth="1"/>
    <col min="5385" max="5385" width="8.42578125" style="8" customWidth="1"/>
    <col min="5386" max="5386" width="6.28515625" style="8" customWidth="1"/>
    <col min="5387" max="5387" width="3" style="8" customWidth="1"/>
    <col min="5388" max="5388" width="15.140625" style="8" customWidth="1"/>
    <col min="5389" max="5632" width="9.140625" style="8"/>
    <col min="5633" max="5633" width="18.28515625" style="8" customWidth="1"/>
    <col min="5634" max="5634" width="9.140625" style="8"/>
    <col min="5635" max="5635" width="6.42578125" style="8" customWidth="1"/>
    <col min="5636" max="5636" width="2.5703125" style="8" customWidth="1"/>
    <col min="5637" max="5637" width="15" style="8" customWidth="1"/>
    <col min="5638" max="5638" width="9.140625" style="8"/>
    <col min="5639" max="5639" width="3.7109375" style="8" customWidth="1"/>
    <col min="5640" max="5640" width="18.140625" style="8" customWidth="1"/>
    <col min="5641" max="5641" width="8.42578125" style="8" customWidth="1"/>
    <col min="5642" max="5642" width="6.28515625" style="8" customWidth="1"/>
    <col min="5643" max="5643" width="3" style="8" customWidth="1"/>
    <col min="5644" max="5644" width="15.140625" style="8" customWidth="1"/>
    <col min="5645" max="5888" width="9.140625" style="8"/>
    <col min="5889" max="5889" width="18.28515625" style="8" customWidth="1"/>
    <col min="5890" max="5890" width="9.140625" style="8"/>
    <col min="5891" max="5891" width="6.42578125" style="8" customWidth="1"/>
    <col min="5892" max="5892" width="2.5703125" style="8" customWidth="1"/>
    <col min="5893" max="5893" width="15" style="8" customWidth="1"/>
    <col min="5894" max="5894" width="9.140625" style="8"/>
    <col min="5895" max="5895" width="3.7109375" style="8" customWidth="1"/>
    <col min="5896" max="5896" width="18.140625" style="8" customWidth="1"/>
    <col min="5897" max="5897" width="8.42578125" style="8" customWidth="1"/>
    <col min="5898" max="5898" width="6.28515625" style="8" customWidth="1"/>
    <col min="5899" max="5899" width="3" style="8" customWidth="1"/>
    <col min="5900" max="5900" width="15.140625" style="8" customWidth="1"/>
    <col min="5901" max="6144" width="9.140625" style="8"/>
    <col min="6145" max="6145" width="18.28515625" style="8" customWidth="1"/>
    <col min="6146" max="6146" width="9.140625" style="8"/>
    <col min="6147" max="6147" width="6.42578125" style="8" customWidth="1"/>
    <col min="6148" max="6148" width="2.5703125" style="8" customWidth="1"/>
    <col min="6149" max="6149" width="15" style="8" customWidth="1"/>
    <col min="6150" max="6150" width="9.140625" style="8"/>
    <col min="6151" max="6151" width="3.7109375" style="8" customWidth="1"/>
    <col min="6152" max="6152" width="18.140625" style="8" customWidth="1"/>
    <col min="6153" max="6153" width="8.42578125" style="8" customWidth="1"/>
    <col min="6154" max="6154" width="6.28515625" style="8" customWidth="1"/>
    <col min="6155" max="6155" width="3" style="8" customWidth="1"/>
    <col min="6156" max="6156" width="15.140625" style="8" customWidth="1"/>
    <col min="6157" max="6400" width="9.140625" style="8"/>
    <col min="6401" max="6401" width="18.28515625" style="8" customWidth="1"/>
    <col min="6402" max="6402" width="9.140625" style="8"/>
    <col min="6403" max="6403" width="6.42578125" style="8" customWidth="1"/>
    <col min="6404" max="6404" width="2.5703125" style="8" customWidth="1"/>
    <col min="6405" max="6405" width="15" style="8" customWidth="1"/>
    <col min="6406" max="6406" width="9.140625" style="8"/>
    <col min="6407" max="6407" width="3.7109375" style="8" customWidth="1"/>
    <col min="6408" max="6408" width="18.140625" style="8" customWidth="1"/>
    <col min="6409" max="6409" width="8.42578125" style="8" customWidth="1"/>
    <col min="6410" max="6410" width="6.28515625" style="8" customWidth="1"/>
    <col min="6411" max="6411" width="3" style="8" customWidth="1"/>
    <col min="6412" max="6412" width="15.140625" style="8" customWidth="1"/>
    <col min="6413" max="6656" width="9.140625" style="8"/>
    <col min="6657" max="6657" width="18.28515625" style="8" customWidth="1"/>
    <col min="6658" max="6658" width="9.140625" style="8"/>
    <col min="6659" max="6659" width="6.42578125" style="8" customWidth="1"/>
    <col min="6660" max="6660" width="2.5703125" style="8" customWidth="1"/>
    <col min="6661" max="6661" width="15" style="8" customWidth="1"/>
    <col min="6662" max="6662" width="9.140625" style="8"/>
    <col min="6663" max="6663" width="3.7109375" style="8" customWidth="1"/>
    <col min="6664" max="6664" width="18.140625" style="8" customWidth="1"/>
    <col min="6665" max="6665" width="8.42578125" style="8" customWidth="1"/>
    <col min="6666" max="6666" width="6.28515625" style="8" customWidth="1"/>
    <col min="6667" max="6667" width="3" style="8" customWidth="1"/>
    <col min="6668" max="6668" width="15.140625" style="8" customWidth="1"/>
    <col min="6669" max="6912" width="9.140625" style="8"/>
    <col min="6913" max="6913" width="18.28515625" style="8" customWidth="1"/>
    <col min="6914" max="6914" width="9.140625" style="8"/>
    <col min="6915" max="6915" width="6.42578125" style="8" customWidth="1"/>
    <col min="6916" max="6916" width="2.5703125" style="8" customWidth="1"/>
    <col min="6917" max="6917" width="15" style="8" customWidth="1"/>
    <col min="6918" max="6918" width="9.140625" style="8"/>
    <col min="6919" max="6919" width="3.7109375" style="8" customWidth="1"/>
    <col min="6920" max="6920" width="18.140625" style="8" customWidth="1"/>
    <col min="6921" max="6921" width="8.42578125" style="8" customWidth="1"/>
    <col min="6922" max="6922" width="6.28515625" style="8" customWidth="1"/>
    <col min="6923" max="6923" width="3" style="8" customWidth="1"/>
    <col min="6924" max="6924" width="15.140625" style="8" customWidth="1"/>
    <col min="6925" max="7168" width="9.140625" style="8"/>
    <col min="7169" max="7169" width="18.28515625" style="8" customWidth="1"/>
    <col min="7170" max="7170" width="9.140625" style="8"/>
    <col min="7171" max="7171" width="6.42578125" style="8" customWidth="1"/>
    <col min="7172" max="7172" width="2.5703125" style="8" customWidth="1"/>
    <col min="7173" max="7173" width="15" style="8" customWidth="1"/>
    <col min="7174" max="7174" width="9.140625" style="8"/>
    <col min="7175" max="7175" width="3.7109375" style="8" customWidth="1"/>
    <col min="7176" max="7176" width="18.140625" style="8" customWidth="1"/>
    <col min="7177" max="7177" width="8.42578125" style="8" customWidth="1"/>
    <col min="7178" max="7178" width="6.28515625" style="8" customWidth="1"/>
    <col min="7179" max="7179" width="3" style="8" customWidth="1"/>
    <col min="7180" max="7180" width="15.140625" style="8" customWidth="1"/>
    <col min="7181" max="7424" width="9.140625" style="8"/>
    <col min="7425" max="7425" width="18.28515625" style="8" customWidth="1"/>
    <col min="7426" max="7426" width="9.140625" style="8"/>
    <col min="7427" max="7427" width="6.42578125" style="8" customWidth="1"/>
    <col min="7428" max="7428" width="2.5703125" style="8" customWidth="1"/>
    <col min="7429" max="7429" width="15" style="8" customWidth="1"/>
    <col min="7430" max="7430" width="9.140625" style="8"/>
    <col min="7431" max="7431" width="3.7109375" style="8" customWidth="1"/>
    <col min="7432" max="7432" width="18.140625" style="8" customWidth="1"/>
    <col min="7433" max="7433" width="8.42578125" style="8" customWidth="1"/>
    <col min="7434" max="7434" width="6.28515625" style="8" customWidth="1"/>
    <col min="7435" max="7435" width="3" style="8" customWidth="1"/>
    <col min="7436" max="7436" width="15.140625" style="8" customWidth="1"/>
    <col min="7437" max="7680" width="9.140625" style="8"/>
    <col min="7681" max="7681" width="18.28515625" style="8" customWidth="1"/>
    <col min="7682" max="7682" width="9.140625" style="8"/>
    <col min="7683" max="7683" width="6.42578125" style="8" customWidth="1"/>
    <col min="7684" max="7684" width="2.5703125" style="8" customWidth="1"/>
    <col min="7685" max="7685" width="15" style="8" customWidth="1"/>
    <col min="7686" max="7686" width="9.140625" style="8"/>
    <col min="7687" max="7687" width="3.7109375" style="8" customWidth="1"/>
    <col min="7688" max="7688" width="18.140625" style="8" customWidth="1"/>
    <col min="7689" max="7689" width="8.42578125" style="8" customWidth="1"/>
    <col min="7690" max="7690" width="6.28515625" style="8" customWidth="1"/>
    <col min="7691" max="7691" width="3" style="8" customWidth="1"/>
    <col min="7692" max="7692" width="15.140625" style="8" customWidth="1"/>
    <col min="7693" max="7936" width="9.140625" style="8"/>
    <col min="7937" max="7937" width="18.28515625" style="8" customWidth="1"/>
    <col min="7938" max="7938" width="9.140625" style="8"/>
    <col min="7939" max="7939" width="6.42578125" style="8" customWidth="1"/>
    <col min="7940" max="7940" width="2.5703125" style="8" customWidth="1"/>
    <col min="7941" max="7941" width="15" style="8" customWidth="1"/>
    <col min="7942" max="7942" width="9.140625" style="8"/>
    <col min="7943" max="7943" width="3.7109375" style="8" customWidth="1"/>
    <col min="7944" max="7944" width="18.140625" style="8" customWidth="1"/>
    <col min="7945" max="7945" width="8.42578125" style="8" customWidth="1"/>
    <col min="7946" max="7946" width="6.28515625" style="8" customWidth="1"/>
    <col min="7947" max="7947" width="3" style="8" customWidth="1"/>
    <col min="7948" max="7948" width="15.140625" style="8" customWidth="1"/>
    <col min="7949" max="8192" width="9.140625" style="8"/>
    <col min="8193" max="8193" width="18.28515625" style="8" customWidth="1"/>
    <col min="8194" max="8194" width="9.140625" style="8"/>
    <col min="8195" max="8195" width="6.42578125" style="8" customWidth="1"/>
    <col min="8196" max="8196" width="2.5703125" style="8" customWidth="1"/>
    <col min="8197" max="8197" width="15" style="8" customWidth="1"/>
    <col min="8198" max="8198" width="9.140625" style="8"/>
    <col min="8199" max="8199" width="3.7109375" style="8" customWidth="1"/>
    <col min="8200" max="8200" width="18.140625" style="8" customWidth="1"/>
    <col min="8201" max="8201" width="8.42578125" style="8" customWidth="1"/>
    <col min="8202" max="8202" width="6.28515625" style="8" customWidth="1"/>
    <col min="8203" max="8203" width="3" style="8" customWidth="1"/>
    <col min="8204" max="8204" width="15.140625" style="8" customWidth="1"/>
    <col min="8205" max="8448" width="9.140625" style="8"/>
    <col min="8449" max="8449" width="18.28515625" style="8" customWidth="1"/>
    <col min="8450" max="8450" width="9.140625" style="8"/>
    <col min="8451" max="8451" width="6.42578125" style="8" customWidth="1"/>
    <col min="8452" max="8452" width="2.5703125" style="8" customWidth="1"/>
    <col min="8453" max="8453" width="15" style="8" customWidth="1"/>
    <col min="8454" max="8454" width="9.140625" style="8"/>
    <col min="8455" max="8455" width="3.7109375" style="8" customWidth="1"/>
    <col min="8456" max="8456" width="18.140625" style="8" customWidth="1"/>
    <col min="8457" max="8457" width="8.42578125" style="8" customWidth="1"/>
    <col min="8458" max="8458" width="6.28515625" style="8" customWidth="1"/>
    <col min="8459" max="8459" width="3" style="8" customWidth="1"/>
    <col min="8460" max="8460" width="15.140625" style="8" customWidth="1"/>
    <col min="8461" max="8704" width="9.140625" style="8"/>
    <col min="8705" max="8705" width="18.28515625" style="8" customWidth="1"/>
    <col min="8706" max="8706" width="9.140625" style="8"/>
    <col min="8707" max="8707" width="6.42578125" style="8" customWidth="1"/>
    <col min="8708" max="8708" width="2.5703125" style="8" customWidth="1"/>
    <col min="8709" max="8709" width="15" style="8" customWidth="1"/>
    <col min="8710" max="8710" width="9.140625" style="8"/>
    <col min="8711" max="8711" width="3.7109375" style="8" customWidth="1"/>
    <col min="8712" max="8712" width="18.140625" style="8" customWidth="1"/>
    <col min="8713" max="8713" width="8.42578125" style="8" customWidth="1"/>
    <col min="8714" max="8714" width="6.28515625" style="8" customWidth="1"/>
    <col min="8715" max="8715" width="3" style="8" customWidth="1"/>
    <col min="8716" max="8716" width="15.140625" style="8" customWidth="1"/>
    <col min="8717" max="8960" width="9.140625" style="8"/>
    <col min="8961" max="8961" width="18.28515625" style="8" customWidth="1"/>
    <col min="8962" max="8962" width="9.140625" style="8"/>
    <col min="8963" max="8963" width="6.42578125" style="8" customWidth="1"/>
    <col min="8964" max="8964" width="2.5703125" style="8" customWidth="1"/>
    <col min="8965" max="8965" width="15" style="8" customWidth="1"/>
    <col min="8966" max="8966" width="9.140625" style="8"/>
    <col min="8967" max="8967" width="3.7109375" style="8" customWidth="1"/>
    <col min="8968" max="8968" width="18.140625" style="8" customWidth="1"/>
    <col min="8969" max="8969" width="8.42578125" style="8" customWidth="1"/>
    <col min="8970" max="8970" width="6.28515625" style="8" customWidth="1"/>
    <col min="8971" max="8971" width="3" style="8" customWidth="1"/>
    <col min="8972" max="8972" width="15.140625" style="8" customWidth="1"/>
    <col min="8973" max="9216" width="9.140625" style="8"/>
    <col min="9217" max="9217" width="18.28515625" style="8" customWidth="1"/>
    <col min="9218" max="9218" width="9.140625" style="8"/>
    <col min="9219" max="9219" width="6.42578125" style="8" customWidth="1"/>
    <col min="9220" max="9220" width="2.5703125" style="8" customWidth="1"/>
    <col min="9221" max="9221" width="15" style="8" customWidth="1"/>
    <col min="9222" max="9222" width="9.140625" style="8"/>
    <col min="9223" max="9223" width="3.7109375" style="8" customWidth="1"/>
    <col min="9224" max="9224" width="18.140625" style="8" customWidth="1"/>
    <col min="9225" max="9225" width="8.42578125" style="8" customWidth="1"/>
    <col min="9226" max="9226" width="6.28515625" style="8" customWidth="1"/>
    <col min="9227" max="9227" width="3" style="8" customWidth="1"/>
    <col min="9228" max="9228" width="15.140625" style="8" customWidth="1"/>
    <col min="9229" max="9472" width="9.140625" style="8"/>
    <col min="9473" max="9473" width="18.28515625" style="8" customWidth="1"/>
    <col min="9474" max="9474" width="9.140625" style="8"/>
    <col min="9475" max="9475" width="6.42578125" style="8" customWidth="1"/>
    <col min="9476" max="9476" width="2.5703125" style="8" customWidth="1"/>
    <col min="9477" max="9477" width="15" style="8" customWidth="1"/>
    <col min="9478" max="9478" width="9.140625" style="8"/>
    <col min="9479" max="9479" width="3.7109375" style="8" customWidth="1"/>
    <col min="9480" max="9480" width="18.140625" style="8" customWidth="1"/>
    <col min="9481" max="9481" width="8.42578125" style="8" customWidth="1"/>
    <col min="9482" max="9482" width="6.28515625" style="8" customWidth="1"/>
    <col min="9483" max="9483" width="3" style="8" customWidth="1"/>
    <col min="9484" max="9484" width="15.140625" style="8" customWidth="1"/>
    <col min="9485" max="9728" width="9.140625" style="8"/>
    <col min="9729" max="9729" width="18.28515625" style="8" customWidth="1"/>
    <col min="9730" max="9730" width="9.140625" style="8"/>
    <col min="9731" max="9731" width="6.42578125" style="8" customWidth="1"/>
    <col min="9732" max="9732" width="2.5703125" style="8" customWidth="1"/>
    <col min="9733" max="9733" width="15" style="8" customWidth="1"/>
    <col min="9734" max="9734" width="9.140625" style="8"/>
    <col min="9735" max="9735" width="3.7109375" style="8" customWidth="1"/>
    <col min="9736" max="9736" width="18.140625" style="8" customWidth="1"/>
    <col min="9737" max="9737" width="8.42578125" style="8" customWidth="1"/>
    <col min="9738" max="9738" width="6.28515625" style="8" customWidth="1"/>
    <col min="9739" max="9739" width="3" style="8" customWidth="1"/>
    <col min="9740" max="9740" width="15.140625" style="8" customWidth="1"/>
    <col min="9741" max="9984" width="9.140625" style="8"/>
    <col min="9985" max="9985" width="18.28515625" style="8" customWidth="1"/>
    <col min="9986" max="9986" width="9.140625" style="8"/>
    <col min="9987" max="9987" width="6.42578125" style="8" customWidth="1"/>
    <col min="9988" max="9988" width="2.5703125" style="8" customWidth="1"/>
    <col min="9989" max="9989" width="15" style="8" customWidth="1"/>
    <col min="9990" max="9990" width="9.140625" style="8"/>
    <col min="9991" max="9991" width="3.7109375" style="8" customWidth="1"/>
    <col min="9992" max="9992" width="18.140625" style="8" customWidth="1"/>
    <col min="9993" max="9993" width="8.42578125" style="8" customWidth="1"/>
    <col min="9994" max="9994" width="6.28515625" style="8" customWidth="1"/>
    <col min="9995" max="9995" width="3" style="8" customWidth="1"/>
    <col min="9996" max="9996" width="15.140625" style="8" customWidth="1"/>
    <col min="9997" max="10240" width="9.140625" style="8"/>
    <col min="10241" max="10241" width="18.28515625" style="8" customWidth="1"/>
    <col min="10242" max="10242" width="9.140625" style="8"/>
    <col min="10243" max="10243" width="6.42578125" style="8" customWidth="1"/>
    <col min="10244" max="10244" width="2.5703125" style="8" customWidth="1"/>
    <col min="10245" max="10245" width="15" style="8" customWidth="1"/>
    <col min="10246" max="10246" width="9.140625" style="8"/>
    <col min="10247" max="10247" width="3.7109375" style="8" customWidth="1"/>
    <col min="10248" max="10248" width="18.140625" style="8" customWidth="1"/>
    <col min="10249" max="10249" width="8.42578125" style="8" customWidth="1"/>
    <col min="10250" max="10250" width="6.28515625" style="8" customWidth="1"/>
    <col min="10251" max="10251" width="3" style="8" customWidth="1"/>
    <col min="10252" max="10252" width="15.140625" style="8" customWidth="1"/>
    <col min="10253" max="10496" width="9.140625" style="8"/>
    <col min="10497" max="10497" width="18.28515625" style="8" customWidth="1"/>
    <col min="10498" max="10498" width="9.140625" style="8"/>
    <col min="10499" max="10499" width="6.42578125" style="8" customWidth="1"/>
    <col min="10500" max="10500" width="2.5703125" style="8" customWidth="1"/>
    <col min="10501" max="10501" width="15" style="8" customWidth="1"/>
    <col min="10502" max="10502" width="9.140625" style="8"/>
    <col min="10503" max="10503" width="3.7109375" style="8" customWidth="1"/>
    <col min="10504" max="10504" width="18.140625" style="8" customWidth="1"/>
    <col min="10505" max="10505" width="8.42578125" style="8" customWidth="1"/>
    <col min="10506" max="10506" width="6.28515625" style="8" customWidth="1"/>
    <col min="10507" max="10507" width="3" style="8" customWidth="1"/>
    <col min="10508" max="10508" width="15.140625" style="8" customWidth="1"/>
    <col min="10509" max="10752" width="9.140625" style="8"/>
    <col min="10753" max="10753" width="18.28515625" style="8" customWidth="1"/>
    <col min="10754" max="10754" width="9.140625" style="8"/>
    <col min="10755" max="10755" width="6.42578125" style="8" customWidth="1"/>
    <col min="10756" max="10756" width="2.5703125" style="8" customWidth="1"/>
    <col min="10757" max="10757" width="15" style="8" customWidth="1"/>
    <col min="10758" max="10758" width="9.140625" style="8"/>
    <col min="10759" max="10759" width="3.7109375" style="8" customWidth="1"/>
    <col min="10760" max="10760" width="18.140625" style="8" customWidth="1"/>
    <col min="10761" max="10761" width="8.42578125" style="8" customWidth="1"/>
    <col min="10762" max="10762" width="6.28515625" style="8" customWidth="1"/>
    <col min="10763" max="10763" width="3" style="8" customWidth="1"/>
    <col min="10764" max="10764" width="15.140625" style="8" customWidth="1"/>
    <col min="10765" max="11008" width="9.140625" style="8"/>
    <col min="11009" max="11009" width="18.28515625" style="8" customWidth="1"/>
    <col min="11010" max="11010" width="9.140625" style="8"/>
    <col min="11011" max="11011" width="6.42578125" style="8" customWidth="1"/>
    <col min="11012" max="11012" width="2.5703125" style="8" customWidth="1"/>
    <col min="11013" max="11013" width="15" style="8" customWidth="1"/>
    <col min="11014" max="11014" width="9.140625" style="8"/>
    <col min="11015" max="11015" width="3.7109375" style="8" customWidth="1"/>
    <col min="11016" max="11016" width="18.140625" style="8" customWidth="1"/>
    <col min="11017" max="11017" width="8.42578125" style="8" customWidth="1"/>
    <col min="11018" max="11018" width="6.28515625" style="8" customWidth="1"/>
    <col min="11019" max="11019" width="3" style="8" customWidth="1"/>
    <col min="11020" max="11020" width="15.140625" style="8" customWidth="1"/>
    <col min="11021" max="11264" width="9.140625" style="8"/>
    <col min="11265" max="11265" width="18.28515625" style="8" customWidth="1"/>
    <col min="11266" max="11266" width="9.140625" style="8"/>
    <col min="11267" max="11267" width="6.42578125" style="8" customWidth="1"/>
    <col min="11268" max="11268" width="2.5703125" style="8" customWidth="1"/>
    <col min="11269" max="11269" width="15" style="8" customWidth="1"/>
    <col min="11270" max="11270" width="9.140625" style="8"/>
    <col min="11271" max="11271" width="3.7109375" style="8" customWidth="1"/>
    <col min="11272" max="11272" width="18.140625" style="8" customWidth="1"/>
    <col min="11273" max="11273" width="8.42578125" style="8" customWidth="1"/>
    <col min="11274" max="11274" width="6.28515625" style="8" customWidth="1"/>
    <col min="11275" max="11275" width="3" style="8" customWidth="1"/>
    <col min="11276" max="11276" width="15.140625" style="8" customWidth="1"/>
    <col min="11277" max="11520" width="9.140625" style="8"/>
    <col min="11521" max="11521" width="18.28515625" style="8" customWidth="1"/>
    <col min="11522" max="11522" width="9.140625" style="8"/>
    <col min="11523" max="11523" width="6.42578125" style="8" customWidth="1"/>
    <col min="11524" max="11524" width="2.5703125" style="8" customWidth="1"/>
    <col min="11525" max="11525" width="15" style="8" customWidth="1"/>
    <col min="11526" max="11526" width="9.140625" style="8"/>
    <col min="11527" max="11527" width="3.7109375" style="8" customWidth="1"/>
    <col min="11528" max="11528" width="18.140625" style="8" customWidth="1"/>
    <col min="11529" max="11529" width="8.42578125" style="8" customWidth="1"/>
    <col min="11530" max="11530" width="6.28515625" style="8" customWidth="1"/>
    <col min="11531" max="11531" width="3" style="8" customWidth="1"/>
    <col min="11532" max="11532" width="15.140625" style="8" customWidth="1"/>
    <col min="11533" max="11776" width="9.140625" style="8"/>
    <col min="11777" max="11777" width="18.28515625" style="8" customWidth="1"/>
    <col min="11778" max="11778" width="9.140625" style="8"/>
    <col min="11779" max="11779" width="6.42578125" style="8" customWidth="1"/>
    <col min="11780" max="11780" width="2.5703125" style="8" customWidth="1"/>
    <col min="11781" max="11781" width="15" style="8" customWidth="1"/>
    <col min="11782" max="11782" width="9.140625" style="8"/>
    <col min="11783" max="11783" width="3.7109375" style="8" customWidth="1"/>
    <col min="11784" max="11784" width="18.140625" style="8" customWidth="1"/>
    <col min="11785" max="11785" width="8.42578125" style="8" customWidth="1"/>
    <col min="11786" max="11786" width="6.28515625" style="8" customWidth="1"/>
    <col min="11787" max="11787" width="3" style="8" customWidth="1"/>
    <col min="11788" max="11788" width="15.140625" style="8" customWidth="1"/>
    <col min="11789" max="12032" width="9.140625" style="8"/>
    <col min="12033" max="12033" width="18.28515625" style="8" customWidth="1"/>
    <col min="12034" max="12034" width="9.140625" style="8"/>
    <col min="12035" max="12035" width="6.42578125" style="8" customWidth="1"/>
    <col min="12036" max="12036" width="2.5703125" style="8" customWidth="1"/>
    <col min="12037" max="12037" width="15" style="8" customWidth="1"/>
    <col min="12038" max="12038" width="9.140625" style="8"/>
    <col min="12039" max="12039" width="3.7109375" style="8" customWidth="1"/>
    <col min="12040" max="12040" width="18.140625" style="8" customWidth="1"/>
    <col min="12041" max="12041" width="8.42578125" style="8" customWidth="1"/>
    <col min="12042" max="12042" width="6.28515625" style="8" customWidth="1"/>
    <col min="12043" max="12043" width="3" style="8" customWidth="1"/>
    <col min="12044" max="12044" width="15.140625" style="8" customWidth="1"/>
    <col min="12045" max="12288" width="9.140625" style="8"/>
    <col min="12289" max="12289" width="18.28515625" style="8" customWidth="1"/>
    <col min="12290" max="12290" width="9.140625" style="8"/>
    <col min="12291" max="12291" width="6.42578125" style="8" customWidth="1"/>
    <col min="12292" max="12292" width="2.5703125" style="8" customWidth="1"/>
    <col min="12293" max="12293" width="15" style="8" customWidth="1"/>
    <col min="12294" max="12294" width="9.140625" style="8"/>
    <col min="12295" max="12295" width="3.7109375" style="8" customWidth="1"/>
    <col min="12296" max="12296" width="18.140625" style="8" customWidth="1"/>
    <col min="12297" max="12297" width="8.42578125" style="8" customWidth="1"/>
    <col min="12298" max="12298" width="6.28515625" style="8" customWidth="1"/>
    <col min="12299" max="12299" width="3" style="8" customWidth="1"/>
    <col min="12300" max="12300" width="15.140625" style="8" customWidth="1"/>
    <col min="12301" max="12544" width="9.140625" style="8"/>
    <col min="12545" max="12545" width="18.28515625" style="8" customWidth="1"/>
    <col min="12546" max="12546" width="9.140625" style="8"/>
    <col min="12547" max="12547" width="6.42578125" style="8" customWidth="1"/>
    <col min="12548" max="12548" width="2.5703125" style="8" customWidth="1"/>
    <col min="12549" max="12549" width="15" style="8" customWidth="1"/>
    <col min="12550" max="12550" width="9.140625" style="8"/>
    <col min="12551" max="12551" width="3.7109375" style="8" customWidth="1"/>
    <col min="12552" max="12552" width="18.140625" style="8" customWidth="1"/>
    <col min="12553" max="12553" width="8.42578125" style="8" customWidth="1"/>
    <col min="12554" max="12554" width="6.28515625" style="8" customWidth="1"/>
    <col min="12555" max="12555" width="3" style="8" customWidth="1"/>
    <col min="12556" max="12556" width="15.140625" style="8" customWidth="1"/>
    <col min="12557" max="12800" width="9.140625" style="8"/>
    <col min="12801" max="12801" width="18.28515625" style="8" customWidth="1"/>
    <col min="12802" max="12802" width="9.140625" style="8"/>
    <col min="12803" max="12803" width="6.42578125" style="8" customWidth="1"/>
    <col min="12804" max="12804" width="2.5703125" style="8" customWidth="1"/>
    <col min="12805" max="12805" width="15" style="8" customWidth="1"/>
    <col min="12806" max="12806" width="9.140625" style="8"/>
    <col min="12807" max="12807" width="3.7109375" style="8" customWidth="1"/>
    <col min="12808" max="12808" width="18.140625" style="8" customWidth="1"/>
    <col min="12809" max="12809" width="8.42578125" style="8" customWidth="1"/>
    <col min="12810" max="12810" width="6.28515625" style="8" customWidth="1"/>
    <col min="12811" max="12811" width="3" style="8" customWidth="1"/>
    <col min="12812" max="12812" width="15.140625" style="8" customWidth="1"/>
    <col min="12813" max="13056" width="9.140625" style="8"/>
    <col min="13057" max="13057" width="18.28515625" style="8" customWidth="1"/>
    <col min="13058" max="13058" width="9.140625" style="8"/>
    <col min="13059" max="13059" width="6.42578125" style="8" customWidth="1"/>
    <col min="13060" max="13060" width="2.5703125" style="8" customWidth="1"/>
    <col min="13061" max="13061" width="15" style="8" customWidth="1"/>
    <col min="13062" max="13062" width="9.140625" style="8"/>
    <col min="13063" max="13063" width="3.7109375" style="8" customWidth="1"/>
    <col min="13064" max="13064" width="18.140625" style="8" customWidth="1"/>
    <col min="13065" max="13065" width="8.42578125" style="8" customWidth="1"/>
    <col min="13066" max="13066" width="6.28515625" style="8" customWidth="1"/>
    <col min="13067" max="13067" width="3" style="8" customWidth="1"/>
    <col min="13068" max="13068" width="15.140625" style="8" customWidth="1"/>
    <col min="13069" max="13312" width="9.140625" style="8"/>
    <col min="13313" max="13313" width="18.28515625" style="8" customWidth="1"/>
    <col min="13314" max="13314" width="9.140625" style="8"/>
    <col min="13315" max="13315" width="6.42578125" style="8" customWidth="1"/>
    <col min="13316" max="13316" width="2.5703125" style="8" customWidth="1"/>
    <col min="13317" max="13317" width="15" style="8" customWidth="1"/>
    <col min="13318" max="13318" width="9.140625" style="8"/>
    <col min="13319" max="13319" width="3.7109375" style="8" customWidth="1"/>
    <col min="13320" max="13320" width="18.140625" style="8" customWidth="1"/>
    <col min="13321" max="13321" width="8.42578125" style="8" customWidth="1"/>
    <col min="13322" max="13322" width="6.28515625" style="8" customWidth="1"/>
    <col min="13323" max="13323" width="3" style="8" customWidth="1"/>
    <col min="13324" max="13324" width="15.140625" style="8" customWidth="1"/>
    <col min="13325" max="13568" width="9.140625" style="8"/>
    <col min="13569" max="13569" width="18.28515625" style="8" customWidth="1"/>
    <col min="13570" max="13570" width="9.140625" style="8"/>
    <col min="13571" max="13571" width="6.42578125" style="8" customWidth="1"/>
    <col min="13572" max="13572" width="2.5703125" style="8" customWidth="1"/>
    <col min="13573" max="13573" width="15" style="8" customWidth="1"/>
    <col min="13574" max="13574" width="9.140625" style="8"/>
    <col min="13575" max="13575" width="3.7109375" style="8" customWidth="1"/>
    <col min="13576" max="13576" width="18.140625" style="8" customWidth="1"/>
    <col min="13577" max="13577" width="8.42578125" style="8" customWidth="1"/>
    <col min="13578" max="13578" width="6.28515625" style="8" customWidth="1"/>
    <col min="13579" max="13579" width="3" style="8" customWidth="1"/>
    <col min="13580" max="13580" width="15.140625" style="8" customWidth="1"/>
    <col min="13581" max="13824" width="9.140625" style="8"/>
    <col min="13825" max="13825" width="18.28515625" style="8" customWidth="1"/>
    <col min="13826" max="13826" width="9.140625" style="8"/>
    <col min="13827" max="13827" width="6.42578125" style="8" customWidth="1"/>
    <col min="13828" max="13828" width="2.5703125" style="8" customWidth="1"/>
    <col min="13829" max="13829" width="15" style="8" customWidth="1"/>
    <col min="13830" max="13830" width="9.140625" style="8"/>
    <col min="13831" max="13831" width="3.7109375" style="8" customWidth="1"/>
    <col min="13832" max="13832" width="18.140625" style="8" customWidth="1"/>
    <col min="13833" max="13833" width="8.42578125" style="8" customWidth="1"/>
    <col min="13834" max="13834" width="6.28515625" style="8" customWidth="1"/>
    <col min="13835" max="13835" width="3" style="8" customWidth="1"/>
    <col min="13836" max="13836" width="15.140625" style="8" customWidth="1"/>
    <col min="13837" max="14080" width="9.140625" style="8"/>
    <col min="14081" max="14081" width="18.28515625" style="8" customWidth="1"/>
    <col min="14082" max="14082" width="9.140625" style="8"/>
    <col min="14083" max="14083" width="6.42578125" style="8" customWidth="1"/>
    <col min="14084" max="14084" width="2.5703125" style="8" customWidth="1"/>
    <col min="14085" max="14085" width="15" style="8" customWidth="1"/>
    <col min="14086" max="14086" width="9.140625" style="8"/>
    <col min="14087" max="14087" width="3.7109375" style="8" customWidth="1"/>
    <col min="14088" max="14088" width="18.140625" style="8" customWidth="1"/>
    <col min="14089" max="14089" width="8.42578125" style="8" customWidth="1"/>
    <col min="14090" max="14090" width="6.28515625" style="8" customWidth="1"/>
    <col min="14091" max="14091" width="3" style="8" customWidth="1"/>
    <col min="14092" max="14092" width="15.140625" style="8" customWidth="1"/>
    <col min="14093" max="14336" width="9.140625" style="8"/>
    <col min="14337" max="14337" width="18.28515625" style="8" customWidth="1"/>
    <col min="14338" max="14338" width="9.140625" style="8"/>
    <col min="14339" max="14339" width="6.42578125" style="8" customWidth="1"/>
    <col min="14340" max="14340" width="2.5703125" style="8" customWidth="1"/>
    <col min="14341" max="14341" width="15" style="8" customWidth="1"/>
    <col min="14342" max="14342" width="9.140625" style="8"/>
    <col min="14343" max="14343" width="3.7109375" style="8" customWidth="1"/>
    <col min="14344" max="14344" width="18.140625" style="8" customWidth="1"/>
    <col min="14345" max="14345" width="8.42578125" style="8" customWidth="1"/>
    <col min="14346" max="14346" width="6.28515625" style="8" customWidth="1"/>
    <col min="14347" max="14347" width="3" style="8" customWidth="1"/>
    <col min="14348" max="14348" width="15.140625" style="8" customWidth="1"/>
    <col min="14349" max="14592" width="9.140625" style="8"/>
    <col min="14593" max="14593" width="18.28515625" style="8" customWidth="1"/>
    <col min="14594" max="14594" width="9.140625" style="8"/>
    <col min="14595" max="14595" width="6.42578125" style="8" customWidth="1"/>
    <col min="14596" max="14596" width="2.5703125" style="8" customWidth="1"/>
    <col min="14597" max="14597" width="15" style="8" customWidth="1"/>
    <col min="14598" max="14598" width="9.140625" style="8"/>
    <col min="14599" max="14599" width="3.7109375" style="8" customWidth="1"/>
    <col min="14600" max="14600" width="18.140625" style="8" customWidth="1"/>
    <col min="14601" max="14601" width="8.42578125" style="8" customWidth="1"/>
    <col min="14602" max="14602" width="6.28515625" style="8" customWidth="1"/>
    <col min="14603" max="14603" width="3" style="8" customWidth="1"/>
    <col min="14604" max="14604" width="15.140625" style="8" customWidth="1"/>
    <col min="14605" max="14848" width="9.140625" style="8"/>
    <col min="14849" max="14849" width="18.28515625" style="8" customWidth="1"/>
    <col min="14850" max="14850" width="9.140625" style="8"/>
    <col min="14851" max="14851" width="6.42578125" style="8" customWidth="1"/>
    <col min="14852" max="14852" width="2.5703125" style="8" customWidth="1"/>
    <col min="14853" max="14853" width="15" style="8" customWidth="1"/>
    <col min="14854" max="14854" width="9.140625" style="8"/>
    <col min="14855" max="14855" width="3.7109375" style="8" customWidth="1"/>
    <col min="14856" max="14856" width="18.140625" style="8" customWidth="1"/>
    <col min="14857" max="14857" width="8.42578125" style="8" customWidth="1"/>
    <col min="14858" max="14858" width="6.28515625" style="8" customWidth="1"/>
    <col min="14859" max="14859" width="3" style="8" customWidth="1"/>
    <col min="14860" max="14860" width="15.140625" style="8" customWidth="1"/>
    <col min="14861" max="15104" width="9.140625" style="8"/>
    <col min="15105" max="15105" width="18.28515625" style="8" customWidth="1"/>
    <col min="15106" max="15106" width="9.140625" style="8"/>
    <col min="15107" max="15107" width="6.42578125" style="8" customWidth="1"/>
    <col min="15108" max="15108" width="2.5703125" style="8" customWidth="1"/>
    <col min="15109" max="15109" width="15" style="8" customWidth="1"/>
    <col min="15110" max="15110" width="9.140625" style="8"/>
    <col min="15111" max="15111" width="3.7109375" style="8" customWidth="1"/>
    <col min="15112" max="15112" width="18.140625" style="8" customWidth="1"/>
    <col min="15113" max="15113" width="8.42578125" style="8" customWidth="1"/>
    <col min="15114" max="15114" width="6.28515625" style="8" customWidth="1"/>
    <col min="15115" max="15115" width="3" style="8" customWidth="1"/>
    <col min="15116" max="15116" width="15.140625" style="8" customWidth="1"/>
    <col min="15117" max="15360" width="9.140625" style="8"/>
    <col min="15361" max="15361" width="18.28515625" style="8" customWidth="1"/>
    <col min="15362" max="15362" width="9.140625" style="8"/>
    <col min="15363" max="15363" width="6.42578125" style="8" customWidth="1"/>
    <col min="15364" max="15364" width="2.5703125" style="8" customWidth="1"/>
    <col min="15365" max="15365" width="15" style="8" customWidth="1"/>
    <col min="15366" max="15366" width="9.140625" style="8"/>
    <col min="15367" max="15367" width="3.7109375" style="8" customWidth="1"/>
    <col min="15368" max="15368" width="18.140625" style="8" customWidth="1"/>
    <col min="15369" max="15369" width="8.42578125" style="8" customWidth="1"/>
    <col min="15370" max="15370" width="6.28515625" style="8" customWidth="1"/>
    <col min="15371" max="15371" width="3" style="8" customWidth="1"/>
    <col min="15372" max="15372" width="15.140625" style="8" customWidth="1"/>
    <col min="15373" max="15616" width="9.140625" style="8"/>
    <col min="15617" max="15617" width="18.28515625" style="8" customWidth="1"/>
    <col min="15618" max="15618" width="9.140625" style="8"/>
    <col min="15619" max="15619" width="6.42578125" style="8" customWidth="1"/>
    <col min="15620" max="15620" width="2.5703125" style="8" customWidth="1"/>
    <col min="15621" max="15621" width="15" style="8" customWidth="1"/>
    <col min="15622" max="15622" width="9.140625" style="8"/>
    <col min="15623" max="15623" width="3.7109375" style="8" customWidth="1"/>
    <col min="15624" max="15624" width="18.140625" style="8" customWidth="1"/>
    <col min="15625" max="15625" width="8.42578125" style="8" customWidth="1"/>
    <col min="15626" max="15626" width="6.28515625" style="8" customWidth="1"/>
    <col min="15627" max="15627" width="3" style="8" customWidth="1"/>
    <col min="15628" max="15628" width="15.140625" style="8" customWidth="1"/>
    <col min="15629" max="15872" width="9.140625" style="8"/>
    <col min="15873" max="15873" width="18.28515625" style="8" customWidth="1"/>
    <col min="15874" max="15874" width="9.140625" style="8"/>
    <col min="15875" max="15875" width="6.42578125" style="8" customWidth="1"/>
    <col min="15876" max="15876" width="2.5703125" style="8" customWidth="1"/>
    <col min="15877" max="15877" width="15" style="8" customWidth="1"/>
    <col min="15878" max="15878" width="9.140625" style="8"/>
    <col min="15879" max="15879" width="3.7109375" style="8" customWidth="1"/>
    <col min="15880" max="15880" width="18.140625" style="8" customWidth="1"/>
    <col min="15881" max="15881" width="8.42578125" style="8" customWidth="1"/>
    <col min="15882" max="15882" width="6.28515625" style="8" customWidth="1"/>
    <col min="15883" max="15883" width="3" style="8" customWidth="1"/>
    <col min="15884" max="15884" width="15.140625" style="8" customWidth="1"/>
    <col min="15885" max="16128" width="9.140625" style="8"/>
    <col min="16129" max="16129" width="18.28515625" style="8" customWidth="1"/>
    <col min="16130" max="16130" width="9.140625" style="8"/>
    <col min="16131" max="16131" width="6.42578125" style="8" customWidth="1"/>
    <col min="16132" max="16132" width="2.5703125" style="8" customWidth="1"/>
    <col min="16133" max="16133" width="15" style="8" customWidth="1"/>
    <col min="16134" max="16134" width="9.140625" style="8"/>
    <col min="16135" max="16135" width="3.7109375" style="8" customWidth="1"/>
    <col min="16136" max="16136" width="18.140625" style="8" customWidth="1"/>
    <col min="16137" max="16137" width="8.42578125" style="8" customWidth="1"/>
    <col min="16138" max="16138" width="6.28515625" style="8" customWidth="1"/>
    <col min="16139" max="16139" width="3" style="8" customWidth="1"/>
    <col min="16140" max="16140" width="15.140625" style="8" customWidth="1"/>
    <col min="16141" max="16384" width="9.140625" style="8"/>
  </cols>
  <sheetData>
    <row r="1" spans="1:13" ht="18" x14ac:dyDescent="0.25">
      <c r="A1" s="14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 x14ac:dyDescent="0.25">
      <c r="A2" s="12" t="s">
        <v>98</v>
      </c>
      <c r="B2" s="13"/>
      <c r="C2" s="13"/>
      <c r="D2" s="13"/>
      <c r="E2" s="13"/>
      <c r="F2" s="13"/>
      <c r="G2" s="13"/>
      <c r="H2" s="12" t="s">
        <v>97</v>
      </c>
      <c r="I2" s="13"/>
      <c r="J2" s="13"/>
      <c r="K2" s="13"/>
      <c r="L2" s="13"/>
      <c r="M2" s="13"/>
    </row>
    <row r="3" spans="1:13" x14ac:dyDescent="0.2">
      <c r="A3" s="55" t="s">
        <v>21</v>
      </c>
      <c r="B3" s="55" t="s">
        <v>20</v>
      </c>
      <c r="C3" s="55" t="s">
        <v>19</v>
      </c>
      <c r="D3" s="56"/>
      <c r="E3" s="55" t="s">
        <v>18</v>
      </c>
      <c r="F3" s="55" t="s">
        <v>17</v>
      </c>
      <c r="G3" s="56"/>
      <c r="H3" s="55" t="s">
        <v>21</v>
      </c>
      <c r="I3" s="55" t="s">
        <v>20</v>
      </c>
      <c r="J3" s="55" t="s">
        <v>19</v>
      </c>
      <c r="K3" s="56"/>
      <c r="L3" s="55" t="s">
        <v>18</v>
      </c>
      <c r="M3" s="55" t="s">
        <v>17</v>
      </c>
    </row>
    <row r="4" spans="1:13" x14ac:dyDescent="0.2">
      <c r="A4" s="12" t="s">
        <v>16</v>
      </c>
      <c r="B4" s="11" t="s">
        <v>15</v>
      </c>
      <c r="C4" s="37">
        <v>50</v>
      </c>
      <c r="E4" s="11" t="s">
        <v>14</v>
      </c>
      <c r="F4" s="8">
        <f>((LN(C4/C5))+(C6-C9+0.5*C7^2)*C8)/(C7*C8^0.5)</f>
        <v>0.32500000000000001</v>
      </c>
      <c r="H4" s="12" t="s">
        <v>16</v>
      </c>
      <c r="I4" s="11" t="s">
        <v>15</v>
      </c>
      <c r="J4" s="10">
        <f t="shared" ref="J4:J10" si="0">C4</f>
        <v>50</v>
      </c>
      <c r="L4" s="11" t="s">
        <v>14</v>
      </c>
      <c r="M4" s="8">
        <f>(((LN(J4/J5))+(J6-J9)*C8+(0.5*J7^2)*C10))/(J7*C10^0.5)</f>
        <v>0.31819805153394637</v>
      </c>
    </row>
    <row r="5" spans="1:13" x14ac:dyDescent="0.2">
      <c r="A5" s="12" t="s">
        <v>13</v>
      </c>
      <c r="B5" s="11" t="s">
        <v>12</v>
      </c>
      <c r="C5" s="37">
        <v>50</v>
      </c>
      <c r="E5" s="11" t="s">
        <v>11</v>
      </c>
      <c r="F5" s="8">
        <f>F4-C7*C8^0.5</f>
        <v>-7.5000000000000011E-2</v>
      </c>
      <c r="H5" s="12" t="s">
        <v>13</v>
      </c>
      <c r="I5" s="11" t="s">
        <v>12</v>
      </c>
      <c r="J5" s="10">
        <f t="shared" si="0"/>
        <v>50</v>
      </c>
      <c r="L5" s="11" t="s">
        <v>11</v>
      </c>
      <c r="M5" s="8">
        <f>M4-J7*C10^0.5</f>
        <v>3.5355339059327306E-2</v>
      </c>
    </row>
    <row r="6" spans="1:13" x14ac:dyDescent="0.2">
      <c r="A6" s="12" t="s">
        <v>10</v>
      </c>
      <c r="B6" s="11" t="s">
        <v>9</v>
      </c>
      <c r="C6" s="37">
        <v>0.05</v>
      </c>
      <c r="E6" s="11" t="s">
        <v>8</v>
      </c>
      <c r="F6" s="8">
        <f>NORMDIST(F4,0,1,1)</f>
        <v>0.62740946415328402</v>
      </c>
      <c r="H6" s="12" t="s">
        <v>10</v>
      </c>
      <c r="I6" s="11" t="s">
        <v>9</v>
      </c>
      <c r="J6" s="10">
        <f t="shared" si="0"/>
        <v>0.05</v>
      </c>
      <c r="L6" s="11" t="s">
        <v>8</v>
      </c>
      <c r="M6" s="8">
        <f>NORMDIST(M4,0,1,1)</f>
        <v>0.62483264466500554</v>
      </c>
    </row>
    <row r="7" spans="1:13" x14ac:dyDescent="0.2">
      <c r="A7" s="12" t="s">
        <v>7</v>
      </c>
      <c r="B7" s="11" t="s">
        <v>6</v>
      </c>
      <c r="C7" s="37">
        <v>0.4</v>
      </c>
      <c r="E7" s="11" t="s">
        <v>5</v>
      </c>
      <c r="F7" s="8">
        <f>NORMDIST(F5,0,1,1)</f>
        <v>0.47010735594710523</v>
      </c>
      <c r="H7" s="12" t="s">
        <v>7</v>
      </c>
      <c r="I7" s="11" t="s">
        <v>6</v>
      </c>
      <c r="J7" s="10">
        <f t="shared" si="0"/>
        <v>0.4</v>
      </c>
      <c r="L7" s="11" t="s">
        <v>5</v>
      </c>
      <c r="M7" s="8">
        <f>NORMDIST(M5,0,1,1)</f>
        <v>0.5141018016521639</v>
      </c>
    </row>
    <row r="8" spans="1:13" x14ac:dyDescent="0.2">
      <c r="A8" s="12" t="s">
        <v>4</v>
      </c>
      <c r="B8" s="11" t="s">
        <v>3</v>
      </c>
      <c r="C8" s="37">
        <v>1</v>
      </c>
      <c r="E8" s="11" t="s">
        <v>2</v>
      </c>
      <c r="F8" s="8">
        <f>C4*(2.7182818^(-C9*C8))*F6-C5*2.7182818^(-C6*C8)*F7</f>
        <v>9.0114757134039678</v>
      </c>
      <c r="H8" s="12" t="s">
        <v>4</v>
      </c>
      <c r="I8" s="11" t="s">
        <v>3</v>
      </c>
      <c r="J8" s="10">
        <f t="shared" si="0"/>
        <v>1</v>
      </c>
      <c r="L8" s="11" t="s">
        <v>2</v>
      </c>
      <c r="M8" s="8">
        <f>J4*(2.7182818^(-J9*C8))*M6-J5*2.7182818^(-J6*C8)*M7</f>
        <v>6.790194174432159</v>
      </c>
    </row>
    <row r="9" spans="1:13" ht="15.75" x14ac:dyDescent="0.25">
      <c r="A9" s="12" t="s">
        <v>73</v>
      </c>
      <c r="B9" s="44" t="s">
        <v>72</v>
      </c>
      <c r="C9" s="37">
        <v>0</v>
      </c>
      <c r="E9" s="11" t="s">
        <v>1</v>
      </c>
      <c r="F9" s="8">
        <f>F8+C5*EXP(-C6*C8)-C4*(2.7182818^(-C9*C8))</f>
        <v>6.5729469384396708</v>
      </c>
      <c r="H9" s="12" t="s">
        <v>73</v>
      </c>
      <c r="I9" s="44" t="s">
        <v>72</v>
      </c>
      <c r="J9" s="10">
        <f t="shared" si="0"/>
        <v>0</v>
      </c>
      <c r="L9" s="11" t="s">
        <v>1</v>
      </c>
      <c r="M9" s="8">
        <f>M8+J5*EXP(-J6*C8)-J4*(2.7182818^(-J9*C8))</f>
        <v>4.351665399467862</v>
      </c>
    </row>
    <row r="10" spans="1:13" ht="14.25" x14ac:dyDescent="0.25">
      <c r="A10" s="38" t="s">
        <v>96</v>
      </c>
      <c r="B10" s="54" t="s">
        <v>95</v>
      </c>
      <c r="C10" s="37">
        <v>0.5</v>
      </c>
      <c r="H10" s="38" t="s">
        <v>96</v>
      </c>
      <c r="I10" s="54" t="s">
        <v>95</v>
      </c>
      <c r="J10" s="10">
        <f t="shared" si="0"/>
        <v>0.5</v>
      </c>
    </row>
    <row r="12" spans="1:13" ht="15.75" x14ac:dyDescent="0.25">
      <c r="A12" s="9"/>
      <c r="E12" s="53" t="s">
        <v>94</v>
      </c>
      <c r="H12" s="53">
        <f>F8+M9</f>
        <v>13.36314111287183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K27"/>
  <sheetViews>
    <sheetView workbookViewId="0">
      <selection sqref="A1:K1048576"/>
    </sheetView>
  </sheetViews>
  <sheetFormatPr defaultRowHeight="12.75" x14ac:dyDescent="0.2"/>
  <cols>
    <col min="1" max="1" width="6.140625" style="8" customWidth="1"/>
    <col min="2" max="2" width="6.7109375" style="8" customWidth="1"/>
    <col min="3" max="3" width="7.28515625" style="8" customWidth="1"/>
    <col min="4" max="4" width="8.140625" style="8" customWidth="1"/>
    <col min="5" max="5" width="8" style="8" customWidth="1"/>
    <col min="6" max="256" width="9.140625" style="8"/>
    <col min="257" max="257" width="6.140625" style="8" customWidth="1"/>
    <col min="258" max="258" width="6.7109375" style="8" customWidth="1"/>
    <col min="259" max="259" width="7.28515625" style="8" customWidth="1"/>
    <col min="260" max="260" width="8.140625" style="8" customWidth="1"/>
    <col min="261" max="261" width="8" style="8" customWidth="1"/>
    <col min="262" max="512" width="9.140625" style="8"/>
    <col min="513" max="513" width="6.140625" style="8" customWidth="1"/>
    <col min="514" max="514" width="6.7109375" style="8" customWidth="1"/>
    <col min="515" max="515" width="7.28515625" style="8" customWidth="1"/>
    <col min="516" max="516" width="8.140625" style="8" customWidth="1"/>
    <col min="517" max="517" width="8" style="8" customWidth="1"/>
    <col min="518" max="768" width="9.140625" style="8"/>
    <col min="769" max="769" width="6.140625" style="8" customWidth="1"/>
    <col min="770" max="770" width="6.7109375" style="8" customWidth="1"/>
    <col min="771" max="771" width="7.28515625" style="8" customWidth="1"/>
    <col min="772" max="772" width="8.140625" style="8" customWidth="1"/>
    <col min="773" max="773" width="8" style="8" customWidth="1"/>
    <col min="774" max="1024" width="9.140625" style="8"/>
    <col min="1025" max="1025" width="6.140625" style="8" customWidth="1"/>
    <col min="1026" max="1026" width="6.7109375" style="8" customWidth="1"/>
    <col min="1027" max="1027" width="7.28515625" style="8" customWidth="1"/>
    <col min="1028" max="1028" width="8.140625" style="8" customWidth="1"/>
    <col min="1029" max="1029" width="8" style="8" customWidth="1"/>
    <col min="1030" max="1280" width="9.140625" style="8"/>
    <col min="1281" max="1281" width="6.140625" style="8" customWidth="1"/>
    <col min="1282" max="1282" width="6.7109375" style="8" customWidth="1"/>
    <col min="1283" max="1283" width="7.28515625" style="8" customWidth="1"/>
    <col min="1284" max="1284" width="8.140625" style="8" customWidth="1"/>
    <col min="1285" max="1285" width="8" style="8" customWidth="1"/>
    <col min="1286" max="1536" width="9.140625" style="8"/>
    <col min="1537" max="1537" width="6.140625" style="8" customWidth="1"/>
    <col min="1538" max="1538" width="6.7109375" style="8" customWidth="1"/>
    <col min="1539" max="1539" width="7.28515625" style="8" customWidth="1"/>
    <col min="1540" max="1540" width="8.140625" style="8" customWidth="1"/>
    <col min="1541" max="1541" width="8" style="8" customWidth="1"/>
    <col min="1542" max="1792" width="9.140625" style="8"/>
    <col min="1793" max="1793" width="6.140625" style="8" customWidth="1"/>
    <col min="1794" max="1794" width="6.7109375" style="8" customWidth="1"/>
    <col min="1795" max="1795" width="7.28515625" style="8" customWidth="1"/>
    <col min="1796" max="1796" width="8.140625" style="8" customWidth="1"/>
    <col min="1797" max="1797" width="8" style="8" customWidth="1"/>
    <col min="1798" max="2048" width="9.140625" style="8"/>
    <col min="2049" max="2049" width="6.140625" style="8" customWidth="1"/>
    <col min="2050" max="2050" width="6.7109375" style="8" customWidth="1"/>
    <col min="2051" max="2051" width="7.28515625" style="8" customWidth="1"/>
    <col min="2052" max="2052" width="8.140625" style="8" customWidth="1"/>
    <col min="2053" max="2053" width="8" style="8" customWidth="1"/>
    <col min="2054" max="2304" width="9.140625" style="8"/>
    <col min="2305" max="2305" width="6.140625" style="8" customWidth="1"/>
    <col min="2306" max="2306" width="6.7109375" style="8" customWidth="1"/>
    <col min="2307" max="2307" width="7.28515625" style="8" customWidth="1"/>
    <col min="2308" max="2308" width="8.140625" style="8" customWidth="1"/>
    <col min="2309" max="2309" width="8" style="8" customWidth="1"/>
    <col min="2310" max="2560" width="9.140625" style="8"/>
    <col min="2561" max="2561" width="6.140625" style="8" customWidth="1"/>
    <col min="2562" max="2562" width="6.7109375" style="8" customWidth="1"/>
    <col min="2563" max="2563" width="7.28515625" style="8" customWidth="1"/>
    <col min="2564" max="2564" width="8.140625" style="8" customWidth="1"/>
    <col min="2565" max="2565" width="8" style="8" customWidth="1"/>
    <col min="2566" max="2816" width="9.140625" style="8"/>
    <col min="2817" max="2817" width="6.140625" style="8" customWidth="1"/>
    <col min="2818" max="2818" width="6.7109375" style="8" customWidth="1"/>
    <col min="2819" max="2819" width="7.28515625" style="8" customWidth="1"/>
    <col min="2820" max="2820" width="8.140625" style="8" customWidth="1"/>
    <col min="2821" max="2821" width="8" style="8" customWidth="1"/>
    <col min="2822" max="3072" width="9.140625" style="8"/>
    <col min="3073" max="3073" width="6.140625" style="8" customWidth="1"/>
    <col min="3074" max="3074" width="6.7109375" style="8" customWidth="1"/>
    <col min="3075" max="3075" width="7.28515625" style="8" customWidth="1"/>
    <col min="3076" max="3076" width="8.140625" style="8" customWidth="1"/>
    <col min="3077" max="3077" width="8" style="8" customWidth="1"/>
    <col min="3078" max="3328" width="9.140625" style="8"/>
    <col min="3329" max="3329" width="6.140625" style="8" customWidth="1"/>
    <col min="3330" max="3330" width="6.7109375" style="8" customWidth="1"/>
    <col min="3331" max="3331" width="7.28515625" style="8" customWidth="1"/>
    <col min="3332" max="3332" width="8.140625" style="8" customWidth="1"/>
    <col min="3333" max="3333" width="8" style="8" customWidth="1"/>
    <col min="3334" max="3584" width="9.140625" style="8"/>
    <col min="3585" max="3585" width="6.140625" style="8" customWidth="1"/>
    <col min="3586" max="3586" width="6.7109375" style="8" customWidth="1"/>
    <col min="3587" max="3587" width="7.28515625" style="8" customWidth="1"/>
    <col min="3588" max="3588" width="8.140625" style="8" customWidth="1"/>
    <col min="3589" max="3589" width="8" style="8" customWidth="1"/>
    <col min="3590" max="3840" width="9.140625" style="8"/>
    <col min="3841" max="3841" width="6.140625" style="8" customWidth="1"/>
    <col min="3842" max="3842" width="6.7109375" style="8" customWidth="1"/>
    <col min="3843" max="3843" width="7.28515625" style="8" customWidth="1"/>
    <col min="3844" max="3844" width="8.140625" style="8" customWidth="1"/>
    <col min="3845" max="3845" width="8" style="8" customWidth="1"/>
    <col min="3846" max="4096" width="9.140625" style="8"/>
    <col min="4097" max="4097" width="6.140625" style="8" customWidth="1"/>
    <col min="4098" max="4098" width="6.7109375" style="8" customWidth="1"/>
    <col min="4099" max="4099" width="7.28515625" style="8" customWidth="1"/>
    <col min="4100" max="4100" width="8.140625" style="8" customWidth="1"/>
    <col min="4101" max="4101" width="8" style="8" customWidth="1"/>
    <col min="4102" max="4352" width="9.140625" style="8"/>
    <col min="4353" max="4353" width="6.140625" style="8" customWidth="1"/>
    <col min="4354" max="4354" width="6.7109375" style="8" customWidth="1"/>
    <col min="4355" max="4355" width="7.28515625" style="8" customWidth="1"/>
    <col min="4356" max="4356" width="8.140625" style="8" customWidth="1"/>
    <col min="4357" max="4357" width="8" style="8" customWidth="1"/>
    <col min="4358" max="4608" width="9.140625" style="8"/>
    <col min="4609" max="4609" width="6.140625" style="8" customWidth="1"/>
    <col min="4610" max="4610" width="6.7109375" style="8" customWidth="1"/>
    <col min="4611" max="4611" width="7.28515625" style="8" customWidth="1"/>
    <col min="4612" max="4612" width="8.140625" style="8" customWidth="1"/>
    <col min="4613" max="4613" width="8" style="8" customWidth="1"/>
    <col min="4614" max="4864" width="9.140625" style="8"/>
    <col min="4865" max="4865" width="6.140625" style="8" customWidth="1"/>
    <col min="4866" max="4866" width="6.7109375" style="8" customWidth="1"/>
    <col min="4867" max="4867" width="7.28515625" style="8" customWidth="1"/>
    <col min="4868" max="4868" width="8.140625" style="8" customWidth="1"/>
    <col min="4869" max="4869" width="8" style="8" customWidth="1"/>
    <col min="4870" max="5120" width="9.140625" style="8"/>
    <col min="5121" max="5121" width="6.140625" style="8" customWidth="1"/>
    <col min="5122" max="5122" width="6.7109375" style="8" customWidth="1"/>
    <col min="5123" max="5123" width="7.28515625" style="8" customWidth="1"/>
    <col min="5124" max="5124" width="8.140625" style="8" customWidth="1"/>
    <col min="5125" max="5125" width="8" style="8" customWidth="1"/>
    <col min="5126" max="5376" width="9.140625" style="8"/>
    <col min="5377" max="5377" width="6.140625" style="8" customWidth="1"/>
    <col min="5378" max="5378" width="6.7109375" style="8" customWidth="1"/>
    <col min="5379" max="5379" width="7.28515625" style="8" customWidth="1"/>
    <col min="5380" max="5380" width="8.140625" style="8" customWidth="1"/>
    <col min="5381" max="5381" width="8" style="8" customWidth="1"/>
    <col min="5382" max="5632" width="9.140625" style="8"/>
    <col min="5633" max="5633" width="6.140625" style="8" customWidth="1"/>
    <col min="5634" max="5634" width="6.7109375" style="8" customWidth="1"/>
    <col min="5635" max="5635" width="7.28515625" style="8" customWidth="1"/>
    <col min="5636" max="5636" width="8.140625" style="8" customWidth="1"/>
    <col min="5637" max="5637" width="8" style="8" customWidth="1"/>
    <col min="5638" max="5888" width="9.140625" style="8"/>
    <col min="5889" max="5889" width="6.140625" style="8" customWidth="1"/>
    <col min="5890" max="5890" width="6.7109375" style="8" customWidth="1"/>
    <col min="5891" max="5891" width="7.28515625" style="8" customWidth="1"/>
    <col min="5892" max="5892" width="8.140625" style="8" customWidth="1"/>
    <col min="5893" max="5893" width="8" style="8" customWidth="1"/>
    <col min="5894" max="6144" width="9.140625" style="8"/>
    <col min="6145" max="6145" width="6.140625" style="8" customWidth="1"/>
    <col min="6146" max="6146" width="6.7109375" style="8" customWidth="1"/>
    <col min="6147" max="6147" width="7.28515625" style="8" customWidth="1"/>
    <col min="6148" max="6148" width="8.140625" style="8" customWidth="1"/>
    <col min="6149" max="6149" width="8" style="8" customWidth="1"/>
    <col min="6150" max="6400" width="9.140625" style="8"/>
    <col min="6401" max="6401" width="6.140625" style="8" customWidth="1"/>
    <col min="6402" max="6402" width="6.7109375" style="8" customWidth="1"/>
    <col min="6403" max="6403" width="7.28515625" style="8" customWidth="1"/>
    <col min="6404" max="6404" width="8.140625" style="8" customWidth="1"/>
    <col min="6405" max="6405" width="8" style="8" customWidth="1"/>
    <col min="6406" max="6656" width="9.140625" style="8"/>
    <col min="6657" max="6657" width="6.140625" style="8" customWidth="1"/>
    <col min="6658" max="6658" width="6.7109375" style="8" customWidth="1"/>
    <col min="6659" max="6659" width="7.28515625" style="8" customWidth="1"/>
    <col min="6660" max="6660" width="8.140625" style="8" customWidth="1"/>
    <col min="6661" max="6661" width="8" style="8" customWidth="1"/>
    <col min="6662" max="6912" width="9.140625" style="8"/>
    <col min="6913" max="6913" width="6.140625" style="8" customWidth="1"/>
    <col min="6914" max="6914" width="6.7109375" style="8" customWidth="1"/>
    <col min="6915" max="6915" width="7.28515625" style="8" customWidth="1"/>
    <col min="6916" max="6916" width="8.140625" style="8" customWidth="1"/>
    <col min="6917" max="6917" width="8" style="8" customWidth="1"/>
    <col min="6918" max="7168" width="9.140625" style="8"/>
    <col min="7169" max="7169" width="6.140625" style="8" customWidth="1"/>
    <col min="7170" max="7170" width="6.7109375" style="8" customWidth="1"/>
    <col min="7171" max="7171" width="7.28515625" style="8" customWidth="1"/>
    <col min="7172" max="7172" width="8.140625" style="8" customWidth="1"/>
    <col min="7173" max="7173" width="8" style="8" customWidth="1"/>
    <col min="7174" max="7424" width="9.140625" style="8"/>
    <col min="7425" max="7425" width="6.140625" style="8" customWidth="1"/>
    <col min="7426" max="7426" width="6.7109375" style="8" customWidth="1"/>
    <col min="7427" max="7427" width="7.28515625" style="8" customWidth="1"/>
    <col min="7428" max="7428" width="8.140625" style="8" customWidth="1"/>
    <col min="7429" max="7429" width="8" style="8" customWidth="1"/>
    <col min="7430" max="7680" width="9.140625" style="8"/>
    <col min="7681" max="7681" width="6.140625" style="8" customWidth="1"/>
    <col min="7682" max="7682" width="6.7109375" style="8" customWidth="1"/>
    <col min="7683" max="7683" width="7.28515625" style="8" customWidth="1"/>
    <col min="7684" max="7684" width="8.140625" style="8" customWidth="1"/>
    <col min="7685" max="7685" width="8" style="8" customWidth="1"/>
    <col min="7686" max="7936" width="9.140625" style="8"/>
    <col min="7937" max="7937" width="6.140625" style="8" customWidth="1"/>
    <col min="7938" max="7938" width="6.7109375" style="8" customWidth="1"/>
    <col min="7939" max="7939" width="7.28515625" style="8" customWidth="1"/>
    <col min="7940" max="7940" width="8.140625" style="8" customWidth="1"/>
    <col min="7941" max="7941" width="8" style="8" customWidth="1"/>
    <col min="7942" max="8192" width="9.140625" style="8"/>
    <col min="8193" max="8193" width="6.140625" style="8" customWidth="1"/>
    <col min="8194" max="8194" width="6.7109375" style="8" customWidth="1"/>
    <col min="8195" max="8195" width="7.28515625" style="8" customWidth="1"/>
    <col min="8196" max="8196" width="8.140625" style="8" customWidth="1"/>
    <col min="8197" max="8197" width="8" style="8" customWidth="1"/>
    <col min="8198" max="8448" width="9.140625" style="8"/>
    <col min="8449" max="8449" width="6.140625" style="8" customWidth="1"/>
    <col min="8450" max="8450" width="6.7109375" style="8" customWidth="1"/>
    <col min="8451" max="8451" width="7.28515625" style="8" customWidth="1"/>
    <col min="8452" max="8452" width="8.140625" style="8" customWidth="1"/>
    <col min="8453" max="8453" width="8" style="8" customWidth="1"/>
    <col min="8454" max="8704" width="9.140625" style="8"/>
    <col min="8705" max="8705" width="6.140625" style="8" customWidth="1"/>
    <col min="8706" max="8706" width="6.7109375" style="8" customWidth="1"/>
    <col min="8707" max="8707" width="7.28515625" style="8" customWidth="1"/>
    <col min="8708" max="8708" width="8.140625" style="8" customWidth="1"/>
    <col min="8709" max="8709" width="8" style="8" customWidth="1"/>
    <col min="8710" max="8960" width="9.140625" style="8"/>
    <col min="8961" max="8961" width="6.140625" style="8" customWidth="1"/>
    <col min="8962" max="8962" width="6.7109375" style="8" customWidth="1"/>
    <col min="8963" max="8963" width="7.28515625" style="8" customWidth="1"/>
    <col min="8964" max="8964" width="8.140625" style="8" customWidth="1"/>
    <col min="8965" max="8965" width="8" style="8" customWidth="1"/>
    <col min="8966" max="9216" width="9.140625" style="8"/>
    <col min="9217" max="9217" width="6.140625" style="8" customWidth="1"/>
    <col min="9218" max="9218" width="6.7109375" style="8" customWidth="1"/>
    <col min="9219" max="9219" width="7.28515625" style="8" customWidth="1"/>
    <col min="9220" max="9220" width="8.140625" style="8" customWidth="1"/>
    <col min="9221" max="9221" width="8" style="8" customWidth="1"/>
    <col min="9222" max="9472" width="9.140625" style="8"/>
    <col min="9473" max="9473" width="6.140625" style="8" customWidth="1"/>
    <col min="9474" max="9474" width="6.7109375" style="8" customWidth="1"/>
    <col min="9475" max="9475" width="7.28515625" style="8" customWidth="1"/>
    <col min="9476" max="9476" width="8.140625" style="8" customWidth="1"/>
    <col min="9477" max="9477" width="8" style="8" customWidth="1"/>
    <col min="9478" max="9728" width="9.140625" style="8"/>
    <col min="9729" max="9729" width="6.140625" style="8" customWidth="1"/>
    <col min="9730" max="9730" width="6.7109375" style="8" customWidth="1"/>
    <col min="9731" max="9731" width="7.28515625" style="8" customWidth="1"/>
    <col min="9732" max="9732" width="8.140625" style="8" customWidth="1"/>
    <col min="9733" max="9733" width="8" style="8" customWidth="1"/>
    <col min="9734" max="9984" width="9.140625" style="8"/>
    <col min="9985" max="9985" width="6.140625" style="8" customWidth="1"/>
    <col min="9986" max="9986" width="6.7109375" style="8" customWidth="1"/>
    <col min="9987" max="9987" width="7.28515625" style="8" customWidth="1"/>
    <col min="9988" max="9988" width="8.140625" style="8" customWidth="1"/>
    <col min="9989" max="9989" width="8" style="8" customWidth="1"/>
    <col min="9990" max="10240" width="9.140625" style="8"/>
    <col min="10241" max="10241" width="6.140625" style="8" customWidth="1"/>
    <col min="10242" max="10242" width="6.7109375" style="8" customWidth="1"/>
    <col min="10243" max="10243" width="7.28515625" style="8" customWidth="1"/>
    <col min="10244" max="10244" width="8.140625" style="8" customWidth="1"/>
    <col min="10245" max="10245" width="8" style="8" customWidth="1"/>
    <col min="10246" max="10496" width="9.140625" style="8"/>
    <col min="10497" max="10497" width="6.140625" style="8" customWidth="1"/>
    <col min="10498" max="10498" width="6.7109375" style="8" customWidth="1"/>
    <col min="10499" max="10499" width="7.28515625" style="8" customWidth="1"/>
    <col min="10500" max="10500" width="8.140625" style="8" customWidth="1"/>
    <col min="10501" max="10501" width="8" style="8" customWidth="1"/>
    <col min="10502" max="10752" width="9.140625" style="8"/>
    <col min="10753" max="10753" width="6.140625" style="8" customWidth="1"/>
    <col min="10754" max="10754" width="6.7109375" style="8" customWidth="1"/>
    <col min="10755" max="10755" width="7.28515625" style="8" customWidth="1"/>
    <col min="10756" max="10756" width="8.140625" style="8" customWidth="1"/>
    <col min="10757" max="10757" width="8" style="8" customWidth="1"/>
    <col min="10758" max="11008" width="9.140625" style="8"/>
    <col min="11009" max="11009" width="6.140625" style="8" customWidth="1"/>
    <col min="11010" max="11010" width="6.7109375" style="8" customWidth="1"/>
    <col min="11011" max="11011" width="7.28515625" style="8" customWidth="1"/>
    <col min="11012" max="11012" width="8.140625" style="8" customWidth="1"/>
    <col min="11013" max="11013" width="8" style="8" customWidth="1"/>
    <col min="11014" max="11264" width="9.140625" style="8"/>
    <col min="11265" max="11265" width="6.140625" style="8" customWidth="1"/>
    <col min="11266" max="11266" width="6.7109375" style="8" customWidth="1"/>
    <col min="11267" max="11267" width="7.28515625" style="8" customWidth="1"/>
    <col min="11268" max="11268" width="8.140625" style="8" customWidth="1"/>
    <col min="11269" max="11269" width="8" style="8" customWidth="1"/>
    <col min="11270" max="11520" width="9.140625" style="8"/>
    <col min="11521" max="11521" width="6.140625" style="8" customWidth="1"/>
    <col min="11522" max="11522" width="6.7109375" style="8" customWidth="1"/>
    <col min="11523" max="11523" width="7.28515625" style="8" customWidth="1"/>
    <col min="11524" max="11524" width="8.140625" style="8" customWidth="1"/>
    <col min="11525" max="11525" width="8" style="8" customWidth="1"/>
    <col min="11526" max="11776" width="9.140625" style="8"/>
    <col min="11777" max="11777" width="6.140625" style="8" customWidth="1"/>
    <col min="11778" max="11778" width="6.7109375" style="8" customWidth="1"/>
    <col min="11779" max="11779" width="7.28515625" style="8" customWidth="1"/>
    <col min="11780" max="11780" width="8.140625" style="8" customWidth="1"/>
    <col min="11781" max="11781" width="8" style="8" customWidth="1"/>
    <col min="11782" max="12032" width="9.140625" style="8"/>
    <col min="12033" max="12033" width="6.140625" style="8" customWidth="1"/>
    <col min="12034" max="12034" width="6.7109375" style="8" customWidth="1"/>
    <col min="12035" max="12035" width="7.28515625" style="8" customWidth="1"/>
    <col min="12036" max="12036" width="8.140625" style="8" customWidth="1"/>
    <col min="12037" max="12037" width="8" style="8" customWidth="1"/>
    <col min="12038" max="12288" width="9.140625" style="8"/>
    <col min="12289" max="12289" width="6.140625" style="8" customWidth="1"/>
    <col min="12290" max="12290" width="6.7109375" style="8" customWidth="1"/>
    <col min="12291" max="12291" width="7.28515625" style="8" customWidth="1"/>
    <col min="12292" max="12292" width="8.140625" style="8" customWidth="1"/>
    <col min="12293" max="12293" width="8" style="8" customWidth="1"/>
    <col min="12294" max="12544" width="9.140625" style="8"/>
    <col min="12545" max="12545" width="6.140625" style="8" customWidth="1"/>
    <col min="12546" max="12546" width="6.7109375" style="8" customWidth="1"/>
    <col min="12547" max="12547" width="7.28515625" style="8" customWidth="1"/>
    <col min="12548" max="12548" width="8.140625" style="8" customWidth="1"/>
    <col min="12549" max="12549" width="8" style="8" customWidth="1"/>
    <col min="12550" max="12800" width="9.140625" style="8"/>
    <col min="12801" max="12801" width="6.140625" style="8" customWidth="1"/>
    <col min="12802" max="12802" width="6.7109375" style="8" customWidth="1"/>
    <col min="12803" max="12803" width="7.28515625" style="8" customWidth="1"/>
    <col min="12804" max="12804" width="8.140625" style="8" customWidth="1"/>
    <col min="12805" max="12805" width="8" style="8" customWidth="1"/>
    <col min="12806" max="13056" width="9.140625" style="8"/>
    <col min="13057" max="13057" width="6.140625" style="8" customWidth="1"/>
    <col min="13058" max="13058" width="6.7109375" style="8" customWidth="1"/>
    <col min="13059" max="13059" width="7.28515625" style="8" customWidth="1"/>
    <col min="13060" max="13060" width="8.140625" style="8" customWidth="1"/>
    <col min="13061" max="13061" width="8" style="8" customWidth="1"/>
    <col min="13062" max="13312" width="9.140625" style="8"/>
    <col min="13313" max="13313" width="6.140625" style="8" customWidth="1"/>
    <col min="13314" max="13314" width="6.7109375" style="8" customWidth="1"/>
    <col min="13315" max="13315" width="7.28515625" style="8" customWidth="1"/>
    <col min="13316" max="13316" width="8.140625" style="8" customWidth="1"/>
    <col min="13317" max="13317" width="8" style="8" customWidth="1"/>
    <col min="13318" max="13568" width="9.140625" style="8"/>
    <col min="13569" max="13569" width="6.140625" style="8" customWidth="1"/>
    <col min="13570" max="13570" width="6.7109375" style="8" customWidth="1"/>
    <col min="13571" max="13571" width="7.28515625" style="8" customWidth="1"/>
    <col min="13572" max="13572" width="8.140625" style="8" customWidth="1"/>
    <col min="13573" max="13573" width="8" style="8" customWidth="1"/>
    <col min="13574" max="13824" width="9.140625" style="8"/>
    <col min="13825" max="13825" width="6.140625" style="8" customWidth="1"/>
    <col min="13826" max="13826" width="6.7109375" style="8" customWidth="1"/>
    <col min="13827" max="13827" width="7.28515625" style="8" customWidth="1"/>
    <col min="13828" max="13828" width="8.140625" style="8" customWidth="1"/>
    <col min="13829" max="13829" width="8" style="8" customWidth="1"/>
    <col min="13830" max="14080" width="9.140625" style="8"/>
    <col min="14081" max="14081" width="6.140625" style="8" customWidth="1"/>
    <col min="14082" max="14082" width="6.7109375" style="8" customWidth="1"/>
    <col min="14083" max="14083" width="7.28515625" style="8" customWidth="1"/>
    <col min="14084" max="14084" width="8.140625" style="8" customWidth="1"/>
    <col min="14085" max="14085" width="8" style="8" customWidth="1"/>
    <col min="14086" max="14336" width="9.140625" style="8"/>
    <col min="14337" max="14337" width="6.140625" style="8" customWidth="1"/>
    <col min="14338" max="14338" width="6.7109375" style="8" customWidth="1"/>
    <col min="14339" max="14339" width="7.28515625" style="8" customWidth="1"/>
    <col min="14340" max="14340" width="8.140625" style="8" customWidth="1"/>
    <col min="14341" max="14341" width="8" style="8" customWidth="1"/>
    <col min="14342" max="14592" width="9.140625" style="8"/>
    <col min="14593" max="14593" width="6.140625" style="8" customWidth="1"/>
    <col min="14594" max="14594" width="6.7109375" style="8" customWidth="1"/>
    <col min="14595" max="14595" width="7.28515625" style="8" customWidth="1"/>
    <col min="14596" max="14596" width="8.140625" style="8" customWidth="1"/>
    <col min="14597" max="14597" width="8" style="8" customWidth="1"/>
    <col min="14598" max="14848" width="9.140625" style="8"/>
    <col min="14849" max="14849" width="6.140625" style="8" customWidth="1"/>
    <col min="14850" max="14850" width="6.7109375" style="8" customWidth="1"/>
    <col min="14851" max="14851" width="7.28515625" style="8" customWidth="1"/>
    <col min="14852" max="14852" width="8.140625" style="8" customWidth="1"/>
    <col min="14853" max="14853" width="8" style="8" customWidth="1"/>
    <col min="14854" max="15104" width="9.140625" style="8"/>
    <col min="15105" max="15105" width="6.140625" style="8" customWidth="1"/>
    <col min="15106" max="15106" width="6.7109375" style="8" customWidth="1"/>
    <col min="15107" max="15107" width="7.28515625" style="8" customWidth="1"/>
    <col min="15108" max="15108" width="8.140625" style="8" customWidth="1"/>
    <col min="15109" max="15109" width="8" style="8" customWidth="1"/>
    <col min="15110" max="15360" width="9.140625" style="8"/>
    <col min="15361" max="15361" width="6.140625" style="8" customWidth="1"/>
    <col min="15362" max="15362" width="6.7109375" style="8" customWidth="1"/>
    <col min="15363" max="15363" width="7.28515625" style="8" customWidth="1"/>
    <col min="15364" max="15364" width="8.140625" style="8" customWidth="1"/>
    <col min="15365" max="15365" width="8" style="8" customWidth="1"/>
    <col min="15366" max="15616" width="9.140625" style="8"/>
    <col min="15617" max="15617" width="6.140625" style="8" customWidth="1"/>
    <col min="15618" max="15618" width="6.7109375" style="8" customWidth="1"/>
    <col min="15619" max="15619" width="7.28515625" style="8" customWidth="1"/>
    <col min="15620" max="15620" width="8.140625" style="8" customWidth="1"/>
    <col min="15621" max="15621" width="8" style="8" customWidth="1"/>
    <col min="15622" max="15872" width="9.140625" style="8"/>
    <col min="15873" max="15873" width="6.140625" style="8" customWidth="1"/>
    <col min="15874" max="15874" width="6.7109375" style="8" customWidth="1"/>
    <col min="15875" max="15875" width="7.28515625" style="8" customWidth="1"/>
    <col min="15876" max="15876" width="8.140625" style="8" customWidth="1"/>
    <col min="15877" max="15877" width="8" style="8" customWidth="1"/>
    <col min="15878" max="16128" width="9.140625" style="8"/>
    <col min="16129" max="16129" width="6.140625" style="8" customWidth="1"/>
    <col min="16130" max="16130" width="6.7109375" style="8" customWidth="1"/>
    <col min="16131" max="16131" width="7.28515625" style="8" customWidth="1"/>
    <col min="16132" max="16132" width="8.140625" style="8" customWidth="1"/>
    <col min="16133" max="16133" width="8" style="8" customWidth="1"/>
    <col min="16134" max="16384" width="9.140625" style="8"/>
  </cols>
  <sheetData>
    <row r="1" spans="1:11" ht="18.75" x14ac:dyDescent="0.3">
      <c r="A1" s="34" t="s">
        <v>44</v>
      </c>
      <c r="B1" s="33"/>
      <c r="C1" s="33"/>
      <c r="D1" s="33"/>
      <c r="E1" s="33"/>
      <c r="F1" s="33"/>
      <c r="G1" s="33"/>
      <c r="H1" s="33"/>
      <c r="I1" s="33"/>
    </row>
    <row r="2" spans="1:11" ht="15.75" x14ac:dyDescent="0.25">
      <c r="A2" s="35" t="s">
        <v>43</v>
      </c>
      <c r="B2" s="28">
        <v>0.5</v>
      </c>
      <c r="C2" s="35" t="s">
        <v>42</v>
      </c>
      <c r="D2" s="28">
        <v>0.2</v>
      </c>
      <c r="E2" s="27"/>
      <c r="F2" s="26"/>
      <c r="G2" s="8" t="s">
        <v>41</v>
      </c>
    </row>
    <row r="3" spans="1:11" ht="13.5" x14ac:dyDescent="0.25">
      <c r="A3" s="35" t="s">
        <v>40</v>
      </c>
      <c r="B3" s="25">
        <v>0.1</v>
      </c>
      <c r="C3" s="35" t="s">
        <v>39</v>
      </c>
      <c r="D3" s="25">
        <v>75</v>
      </c>
      <c r="E3" s="24" t="s">
        <v>38</v>
      </c>
      <c r="F3" s="23">
        <v>80</v>
      </c>
      <c r="G3" s="22" t="str">
        <f>"The Implied volatility is " &amp; D27</f>
        <v>The Implied volatility is 0.411465644836426</v>
      </c>
    </row>
    <row r="4" spans="1:11" ht="13.5" x14ac:dyDescent="0.25">
      <c r="A4" s="36" t="s">
        <v>37</v>
      </c>
      <c r="B4" s="20">
        <v>8.1999999999999993</v>
      </c>
      <c r="C4" s="36" t="s">
        <v>36</v>
      </c>
      <c r="D4" s="20">
        <v>0.5</v>
      </c>
      <c r="E4" s="19"/>
      <c r="F4" s="19"/>
    </row>
    <row r="5" spans="1:11" ht="18.75" x14ac:dyDescent="0.35">
      <c r="A5" s="15"/>
      <c r="B5" s="15"/>
      <c r="C5" s="18" t="s">
        <v>30</v>
      </c>
      <c r="D5" s="17" t="s">
        <v>29</v>
      </c>
      <c r="E5" s="17" t="s">
        <v>28</v>
      </c>
      <c r="F5" s="17" t="s">
        <v>27</v>
      </c>
      <c r="G5" s="17" t="s">
        <v>26</v>
      </c>
      <c r="H5" s="17" t="s">
        <v>25</v>
      </c>
      <c r="I5" s="17" t="s">
        <v>24</v>
      </c>
    </row>
    <row r="6" spans="1:11" ht="13.5" x14ac:dyDescent="0.25">
      <c r="A6" s="15" t="s">
        <v>35</v>
      </c>
      <c r="B6" s="15">
        <f>I6</f>
        <v>1.86046505816946</v>
      </c>
      <c r="C6" s="15">
        <f>B2</f>
        <v>0.5</v>
      </c>
      <c r="D6" s="15">
        <f>(LN($D$3/$F$3)+($B$3+0.5*C6^2)*$D$4)/(C6*$D$4^0.5)</f>
        <v>0.13565554775743471</v>
      </c>
      <c r="E6" s="15">
        <f>D6-C6*$D$4^0.5</f>
        <v>-0.21789784283583907</v>
      </c>
      <c r="F6" s="15">
        <f>NORMDIST(D6,0,1,TRUE)</f>
        <v>0.55395320473825749</v>
      </c>
      <c r="G6" s="15">
        <f>NORMDIST(E6,0,1,TRUE)</f>
        <v>0.41375435396729149</v>
      </c>
      <c r="H6" s="15">
        <f>$D$3*F6-$F$3*2.7182818^(-$B$3*$D$4)*G6</f>
        <v>10.060465058169459</v>
      </c>
      <c r="I6" s="15">
        <f>H6-$B$4</f>
        <v>1.86046505816946</v>
      </c>
      <c r="J6" s="15"/>
      <c r="K6" s="15"/>
    </row>
    <row r="7" spans="1:11" ht="13.5" x14ac:dyDescent="0.25">
      <c r="A7" s="15" t="s">
        <v>34</v>
      </c>
      <c r="B7" s="15">
        <f>I7</f>
        <v>-4.4678734997760294</v>
      </c>
      <c r="C7" s="15">
        <f>D2</f>
        <v>0.2</v>
      </c>
      <c r="D7" s="15">
        <f>(LN($D$3/$F$3)+($B$3+0.5*C7^2)*$D$4)/(C7*$D$4^0.5)</f>
        <v>-3.20921907293506E-2</v>
      </c>
      <c r="E7" s="15">
        <f>D7-C7*$D$4^0.5</f>
        <v>-0.17351354696666013</v>
      </c>
      <c r="F7" s="15">
        <f>NORMDIST(D7,0,1,TRUE)</f>
        <v>0.48719926554970322</v>
      </c>
      <c r="G7" s="15">
        <f>NORMDIST(E7,0,1,TRUE)</f>
        <v>0.43112389022303993</v>
      </c>
      <c r="H7" s="15">
        <f>$D$3*F7-$F$3*2.7182818^(-$B$3*$D$4)*G7</f>
        <v>3.7321265002239699</v>
      </c>
      <c r="I7" s="15">
        <f>H7-$B$4</f>
        <v>-4.4678734997760294</v>
      </c>
      <c r="J7" s="15"/>
      <c r="K7" s="15"/>
    </row>
    <row r="8" spans="1:11" ht="18.75" x14ac:dyDescent="0.35">
      <c r="A8" s="17" t="s">
        <v>33</v>
      </c>
      <c r="B8" s="17" t="s">
        <v>32</v>
      </c>
      <c r="C8" s="17" t="s">
        <v>31</v>
      </c>
      <c r="D8" s="18" t="s">
        <v>30</v>
      </c>
      <c r="E8" s="17" t="s">
        <v>29</v>
      </c>
      <c r="F8" s="17" t="s">
        <v>28</v>
      </c>
      <c r="G8" s="17" t="s">
        <v>27</v>
      </c>
      <c r="H8" s="17" t="s">
        <v>26</v>
      </c>
      <c r="I8" s="17" t="s">
        <v>25</v>
      </c>
      <c r="J8" s="17" t="s">
        <v>24</v>
      </c>
    </row>
    <row r="9" spans="1:11" x14ac:dyDescent="0.2">
      <c r="A9" s="15">
        <v>1</v>
      </c>
      <c r="B9" s="15">
        <f>C6</f>
        <v>0.5</v>
      </c>
      <c r="C9" s="15">
        <f>C7</f>
        <v>0.2</v>
      </c>
      <c r="D9" s="15">
        <f t="shared" ref="D9:D27" si="0">(B9+C9)/2</f>
        <v>0.35</v>
      </c>
      <c r="E9" s="15">
        <f t="shared" ref="E9:E27" si="1">(LN($D$3/$F$3)+($B$3+0.5*D9^2)*$D$4)/(D9*$D$4^0.5)</f>
        <v>6.499919022307131E-2</v>
      </c>
      <c r="F9" s="15">
        <f t="shared" ref="F9:F27" si="2">E9-D9*$D$4^0.5</f>
        <v>-0.18248818319222032</v>
      </c>
      <c r="G9" s="15">
        <f t="shared" ref="G9:G27" si="3">NORMDIST(E9,0,1,TRUE)</f>
        <v>0.52591267749934256</v>
      </c>
      <c r="H9" s="15">
        <f t="shared" ref="H9:H27" si="4">NORMDIST(F9,0,1,TRUE)</f>
        <v>0.42759981355176535</v>
      </c>
      <c r="I9" s="15">
        <f t="shared" ref="I9:I27" si="5">$D$3*G9-$F$3*2.7182818^(-$B$3*$D$4)*H9</f>
        <v>6.9038088305003384</v>
      </c>
      <c r="J9" s="15">
        <f t="shared" ref="J9:J27" si="6">I9-$B$4</f>
        <v>-1.2961911694996608</v>
      </c>
    </row>
    <row r="10" spans="1:11" x14ac:dyDescent="0.2">
      <c r="A10" s="15">
        <v>2</v>
      </c>
      <c r="B10" s="15">
        <f t="shared" ref="B10:B27" si="7">IF(J9&gt;0,D9,B9)</f>
        <v>0.5</v>
      </c>
      <c r="C10" s="15">
        <f t="shared" ref="C10:C27" si="8">IF(J9&gt;0,C9,D9)</f>
        <v>0.35</v>
      </c>
      <c r="D10" s="15">
        <f t="shared" si="0"/>
        <v>0.42499999999999999</v>
      </c>
      <c r="E10" s="15">
        <f t="shared" si="1"/>
        <v>0.10188237036778586</v>
      </c>
      <c r="F10" s="15">
        <f t="shared" si="2"/>
        <v>-0.19863801163649686</v>
      </c>
      <c r="G10" s="15">
        <f t="shared" si="3"/>
        <v>0.54057497822656431</v>
      </c>
      <c r="H10" s="15">
        <f t="shared" si="4"/>
        <v>0.42127295854051672</v>
      </c>
      <c r="I10" s="15">
        <f t="shared" si="5"/>
        <v>8.4849446373939656</v>
      </c>
      <c r="J10" s="15">
        <f t="shared" si="6"/>
        <v>0.28494463739396636</v>
      </c>
    </row>
    <row r="11" spans="1:11" x14ac:dyDescent="0.2">
      <c r="A11" s="15">
        <v>3</v>
      </c>
      <c r="B11" s="15">
        <f t="shared" si="7"/>
        <v>0.42499999999999999</v>
      </c>
      <c r="C11" s="15">
        <f t="shared" si="8"/>
        <v>0.35</v>
      </c>
      <c r="D11" s="15">
        <f t="shared" si="0"/>
        <v>0.38749999999999996</v>
      </c>
      <c r="E11" s="15">
        <f t="shared" si="1"/>
        <v>8.394239364301978E-2</v>
      </c>
      <c r="F11" s="15">
        <f t="shared" si="2"/>
        <v>-0.1900614840667674</v>
      </c>
      <c r="G11" s="15">
        <f t="shared" si="3"/>
        <v>0.53344888338454211</v>
      </c>
      <c r="H11" s="15">
        <f t="shared" si="4"/>
        <v>0.42463047558143546</v>
      </c>
      <c r="I11" s="15">
        <f t="shared" si="5"/>
        <v>7.6949860039017892</v>
      </c>
      <c r="J11" s="15">
        <f t="shared" si="6"/>
        <v>-0.50501399609821007</v>
      </c>
    </row>
    <row r="12" spans="1:11" x14ac:dyDescent="0.2">
      <c r="A12" s="15">
        <v>4</v>
      </c>
      <c r="B12" s="15">
        <f t="shared" si="7"/>
        <v>0.42499999999999999</v>
      </c>
      <c r="C12" s="15">
        <f t="shared" si="8"/>
        <v>0.38749999999999996</v>
      </c>
      <c r="D12" s="15">
        <f t="shared" si="0"/>
        <v>0.40625</v>
      </c>
      <c r="E12" s="15">
        <f t="shared" si="1"/>
        <v>9.3020421803345577E-2</v>
      </c>
      <c r="F12" s="15">
        <f t="shared" si="2"/>
        <v>-0.1942417080536894</v>
      </c>
      <c r="G12" s="15">
        <f t="shared" si="3"/>
        <v>0.53705633134512842</v>
      </c>
      <c r="H12" s="15">
        <f t="shared" si="4"/>
        <v>0.42299331321613398</v>
      </c>
      <c r="I12" s="15">
        <f t="shared" si="5"/>
        <v>8.0901299621757801</v>
      </c>
      <c r="J12" s="15">
        <f t="shared" si="6"/>
        <v>-0.10987003782421922</v>
      </c>
    </row>
    <row r="13" spans="1:11" x14ac:dyDescent="0.2">
      <c r="A13" s="15">
        <v>5</v>
      </c>
      <c r="B13" s="15">
        <f t="shared" si="7"/>
        <v>0.42499999999999999</v>
      </c>
      <c r="C13" s="15">
        <f t="shared" si="8"/>
        <v>0.40625</v>
      </c>
      <c r="D13" s="15">
        <f t="shared" si="0"/>
        <v>0.41562500000000002</v>
      </c>
      <c r="E13" s="15">
        <f t="shared" si="1"/>
        <v>9.7476578294108801E-2</v>
      </c>
      <c r="F13" s="15">
        <f t="shared" si="2"/>
        <v>-0.19641467763655004</v>
      </c>
      <c r="G13" s="15">
        <f t="shared" si="3"/>
        <v>0.53882603327225786</v>
      </c>
      <c r="H13" s="15">
        <f t="shared" si="4"/>
        <v>0.42214280445878005</v>
      </c>
      <c r="I13" s="15">
        <f t="shared" si="5"/>
        <v>8.2875799232076162</v>
      </c>
      <c r="J13" s="15">
        <f t="shared" si="6"/>
        <v>8.7579923207616872E-2</v>
      </c>
    </row>
    <row r="14" spans="1:11" x14ac:dyDescent="0.2">
      <c r="A14" s="15">
        <v>6</v>
      </c>
      <c r="B14" s="15">
        <f t="shared" si="7"/>
        <v>0.41562500000000002</v>
      </c>
      <c r="C14" s="15">
        <f t="shared" si="8"/>
        <v>0.40625</v>
      </c>
      <c r="D14" s="15">
        <f t="shared" si="0"/>
        <v>0.41093750000000001</v>
      </c>
      <c r="E14" s="15">
        <f t="shared" si="1"/>
        <v>9.5255011038008278E-2</v>
      </c>
      <c r="F14" s="15">
        <f t="shared" si="2"/>
        <v>-0.19532168185583865</v>
      </c>
      <c r="G14" s="15">
        <f t="shared" si="3"/>
        <v>0.53794386195281452</v>
      </c>
      <c r="H14" s="15">
        <f t="shared" si="4"/>
        <v>0.42257056214214767</v>
      </c>
      <c r="I14" s="15">
        <f t="shared" si="5"/>
        <v>8.1888654186342791</v>
      </c>
      <c r="J14" s="15">
        <f t="shared" si="6"/>
        <v>-1.1134581365720209E-2</v>
      </c>
    </row>
    <row r="15" spans="1:11" x14ac:dyDescent="0.2">
      <c r="A15" s="15">
        <v>7</v>
      </c>
      <c r="B15" s="15">
        <f t="shared" si="7"/>
        <v>0.41562500000000002</v>
      </c>
      <c r="C15" s="15">
        <f t="shared" si="8"/>
        <v>0.41093750000000001</v>
      </c>
      <c r="D15" s="15">
        <f t="shared" si="0"/>
        <v>0.41328125000000004</v>
      </c>
      <c r="E15" s="15">
        <f t="shared" si="1"/>
        <v>9.6367394720135183E-2</v>
      </c>
      <c r="F15" s="15">
        <f t="shared" si="2"/>
        <v>-0.19586657969211774</v>
      </c>
      <c r="G15" s="15">
        <f t="shared" si="3"/>
        <v>0.53838560659194323</v>
      </c>
      <c r="H15" s="15">
        <f t="shared" si="4"/>
        <v>0.42235729805497357</v>
      </c>
      <c r="I15" s="15">
        <f t="shared" si="5"/>
        <v>8.2382253125701723</v>
      </c>
      <c r="J15" s="15">
        <f t="shared" si="6"/>
        <v>3.8225312570173031E-2</v>
      </c>
    </row>
    <row r="16" spans="1:11" x14ac:dyDescent="0.2">
      <c r="A16" s="15">
        <v>8</v>
      </c>
      <c r="B16" s="15">
        <f t="shared" si="7"/>
        <v>0.41328125000000004</v>
      </c>
      <c r="C16" s="15">
        <f t="shared" si="8"/>
        <v>0.41093750000000001</v>
      </c>
      <c r="D16" s="15">
        <f t="shared" si="0"/>
        <v>0.412109375</v>
      </c>
      <c r="E16" s="15">
        <f t="shared" si="1"/>
        <v>9.5811606305028482E-2</v>
      </c>
      <c r="F16" s="15">
        <f t="shared" si="2"/>
        <v>-0.19559372734802138</v>
      </c>
      <c r="G16" s="15">
        <f t="shared" si="3"/>
        <v>0.53816490036410292</v>
      </c>
      <c r="H16" s="15">
        <f t="shared" si="4"/>
        <v>0.42246408515170042</v>
      </c>
      <c r="I16" s="15">
        <f t="shared" si="5"/>
        <v>8.2135460231928121</v>
      </c>
      <c r="J16" s="15">
        <f t="shared" si="6"/>
        <v>1.3546023192812839E-2</v>
      </c>
    </row>
    <row r="17" spans="1:10" x14ac:dyDescent="0.2">
      <c r="A17" s="15">
        <v>9</v>
      </c>
      <c r="B17" s="15">
        <f t="shared" si="7"/>
        <v>0.412109375</v>
      </c>
      <c r="C17" s="15">
        <f t="shared" si="8"/>
        <v>0.41093750000000001</v>
      </c>
      <c r="D17" s="15">
        <f t="shared" si="0"/>
        <v>0.41152343749999998</v>
      </c>
      <c r="E17" s="15">
        <f t="shared" si="1"/>
        <v>9.5533409958813653E-2</v>
      </c>
      <c r="F17" s="15">
        <f t="shared" si="2"/>
        <v>-0.19545760331463474</v>
      </c>
      <c r="G17" s="15">
        <f t="shared" si="3"/>
        <v>0.53805442285144012</v>
      </c>
      <c r="H17" s="15">
        <f t="shared" si="4"/>
        <v>0.42251736258245276</v>
      </c>
      <c r="I17" s="15">
        <f t="shared" si="5"/>
        <v>8.2012058849575027</v>
      </c>
      <c r="J17" s="15">
        <f t="shared" si="6"/>
        <v>1.2058849575034003E-3</v>
      </c>
    </row>
    <row r="18" spans="1:10" x14ac:dyDescent="0.2">
      <c r="A18" s="15">
        <v>10</v>
      </c>
      <c r="B18" s="15">
        <f t="shared" si="7"/>
        <v>0.41152343749999998</v>
      </c>
      <c r="C18" s="15">
        <f t="shared" si="8"/>
        <v>0.41093750000000001</v>
      </c>
      <c r="D18" s="15">
        <f t="shared" si="0"/>
        <v>0.41123046875000002</v>
      </c>
      <c r="E18" s="15">
        <f t="shared" si="1"/>
        <v>9.5394235874354083E-2</v>
      </c>
      <c r="F18" s="15">
        <f t="shared" si="2"/>
        <v>-0.1953896172092936</v>
      </c>
      <c r="G18" s="15">
        <f t="shared" si="3"/>
        <v>0.53799915284673583</v>
      </c>
      <c r="H18" s="15">
        <f t="shared" si="4"/>
        <v>0.42254397211781897</v>
      </c>
      <c r="I18" s="15">
        <f t="shared" si="5"/>
        <v>8.1950356927626089</v>
      </c>
      <c r="J18" s="15">
        <f t="shared" si="6"/>
        <v>-4.9643072373903863E-3</v>
      </c>
    </row>
    <row r="19" spans="1:10" x14ac:dyDescent="0.2">
      <c r="A19" s="15">
        <v>11</v>
      </c>
      <c r="B19" s="15">
        <f t="shared" si="7"/>
        <v>0.41152343749999998</v>
      </c>
      <c r="C19" s="15">
        <f t="shared" si="8"/>
        <v>0.41123046875000002</v>
      </c>
      <c r="D19" s="15">
        <f t="shared" si="0"/>
        <v>0.411376953125</v>
      </c>
      <c r="E19" s="15">
        <f t="shared" si="1"/>
        <v>9.5463829253792681E-2</v>
      </c>
      <c r="F19" s="15">
        <f t="shared" si="2"/>
        <v>-0.19542360392475536</v>
      </c>
      <c r="G19" s="15">
        <f t="shared" si="3"/>
        <v>0.53802679045756496</v>
      </c>
      <c r="H19" s="15">
        <f t="shared" si="4"/>
        <v>0.42253066978630627</v>
      </c>
      <c r="I19" s="15">
        <f t="shared" si="5"/>
        <v>8.1981207991072793</v>
      </c>
      <c r="J19" s="15">
        <f t="shared" si="6"/>
        <v>-1.8792008927199788E-3</v>
      </c>
    </row>
    <row r="20" spans="1:10" x14ac:dyDescent="0.2">
      <c r="A20" s="15">
        <v>12</v>
      </c>
      <c r="B20" s="15">
        <f t="shared" si="7"/>
        <v>0.41152343749999998</v>
      </c>
      <c r="C20" s="15">
        <f t="shared" si="8"/>
        <v>0.411376953125</v>
      </c>
      <c r="D20" s="15">
        <f t="shared" si="0"/>
        <v>0.41145019531249999</v>
      </c>
      <c r="E20" s="15">
        <f t="shared" si="1"/>
        <v>9.5498621189759297E-2</v>
      </c>
      <c r="F20" s="15">
        <f t="shared" si="2"/>
        <v>-0.19544060203623889</v>
      </c>
      <c r="G20" s="15">
        <f t="shared" si="3"/>
        <v>0.53804060730628778</v>
      </c>
      <c r="H20" s="15">
        <f t="shared" si="4"/>
        <v>0.42252401679308388</v>
      </c>
      <c r="I20" s="15">
        <f t="shared" si="5"/>
        <v>8.1996633445948817</v>
      </c>
      <c r="J20" s="15">
        <f t="shared" si="6"/>
        <v>-3.3665540511762515E-4</v>
      </c>
    </row>
    <row r="21" spans="1:10" x14ac:dyDescent="0.2">
      <c r="A21" s="15">
        <v>13</v>
      </c>
      <c r="B21" s="15">
        <f t="shared" si="7"/>
        <v>0.41152343749999998</v>
      </c>
      <c r="C21" s="15">
        <f t="shared" si="8"/>
        <v>0.41145019531249999</v>
      </c>
      <c r="D21" s="15">
        <f t="shared" si="0"/>
        <v>0.41148681640624996</v>
      </c>
      <c r="E21" s="15">
        <f t="shared" si="1"/>
        <v>9.5516015970044804E-2</v>
      </c>
      <c r="F21" s="15">
        <f t="shared" si="2"/>
        <v>-0.19544910227967846</v>
      </c>
      <c r="G21" s="15">
        <f t="shared" si="3"/>
        <v>0.53804751524176853</v>
      </c>
      <c r="H21" s="15">
        <f t="shared" si="4"/>
        <v>0.42252068983990215</v>
      </c>
      <c r="I21" s="15">
        <f t="shared" si="5"/>
        <v>8.2004346154169028</v>
      </c>
      <c r="J21" s="15">
        <f t="shared" si="6"/>
        <v>4.3461541690348326E-4</v>
      </c>
    </row>
    <row r="22" spans="1:10" x14ac:dyDescent="0.2">
      <c r="A22" s="15">
        <v>14</v>
      </c>
      <c r="B22" s="15">
        <f t="shared" si="7"/>
        <v>0.41148681640624996</v>
      </c>
      <c r="C22" s="15">
        <f t="shared" si="8"/>
        <v>0.41145019531249999</v>
      </c>
      <c r="D22" s="15">
        <f t="shared" si="0"/>
        <v>0.411468505859375</v>
      </c>
      <c r="E22" s="15">
        <f t="shared" si="1"/>
        <v>9.5507318678854855E-2</v>
      </c>
      <c r="F22" s="15">
        <f t="shared" si="2"/>
        <v>-0.19544485205900586</v>
      </c>
      <c r="G22" s="15">
        <f t="shared" si="3"/>
        <v>0.53804406131475957</v>
      </c>
      <c r="H22" s="15">
        <f t="shared" si="4"/>
        <v>0.42252235335453175</v>
      </c>
      <c r="I22" s="15">
        <f t="shared" si="5"/>
        <v>8.2000489801660592</v>
      </c>
      <c r="J22" s="15">
        <f t="shared" si="6"/>
        <v>4.8980166059919839E-5</v>
      </c>
    </row>
    <row r="23" spans="1:10" x14ac:dyDescent="0.2">
      <c r="A23" s="15">
        <v>15</v>
      </c>
      <c r="B23" s="15">
        <f t="shared" si="7"/>
        <v>0.411468505859375</v>
      </c>
      <c r="C23" s="15">
        <f t="shared" si="8"/>
        <v>0.41145019531249999</v>
      </c>
      <c r="D23" s="15">
        <f t="shared" si="0"/>
        <v>0.41145935058593752</v>
      </c>
      <c r="E23" s="15">
        <f t="shared" si="1"/>
        <v>9.5502969959046932E-2</v>
      </c>
      <c r="F23" s="15">
        <f t="shared" si="2"/>
        <v>-0.19544272702288257</v>
      </c>
      <c r="G23" s="15">
        <f t="shared" si="3"/>
        <v>0.53804233432070725</v>
      </c>
      <c r="H23" s="15">
        <f t="shared" si="4"/>
        <v>0.42252318508331815</v>
      </c>
      <c r="I23" s="15">
        <f t="shared" si="5"/>
        <v>8.1998561624205166</v>
      </c>
      <c r="J23" s="15">
        <f t="shared" si="6"/>
        <v>-1.4383757948266407E-4</v>
      </c>
    </row>
    <row r="24" spans="1:10" x14ac:dyDescent="0.2">
      <c r="A24" s="15">
        <v>16</v>
      </c>
      <c r="B24" s="15">
        <f t="shared" si="7"/>
        <v>0.411468505859375</v>
      </c>
      <c r="C24" s="15">
        <f t="shared" si="8"/>
        <v>0.41145935058593752</v>
      </c>
      <c r="D24" s="15">
        <f t="shared" si="0"/>
        <v>0.41146392822265626</v>
      </c>
      <c r="E24" s="15">
        <f t="shared" si="1"/>
        <v>9.5505144325135641E-2</v>
      </c>
      <c r="F24" s="15">
        <f t="shared" si="2"/>
        <v>-0.19544378953475949</v>
      </c>
      <c r="G24" s="15">
        <f t="shared" si="3"/>
        <v>0.5380431978202791</v>
      </c>
      <c r="H24" s="15">
        <f t="shared" si="4"/>
        <v>0.42252276922130244</v>
      </c>
      <c r="I24" s="15">
        <f t="shared" si="5"/>
        <v>8.1999525713032995</v>
      </c>
      <c r="J24" s="15">
        <f t="shared" si="6"/>
        <v>-4.7428696699824968E-5</v>
      </c>
    </row>
    <row r="25" spans="1:10" x14ac:dyDescent="0.2">
      <c r="A25" s="15">
        <v>17</v>
      </c>
      <c r="B25" s="15">
        <f t="shared" si="7"/>
        <v>0.411468505859375</v>
      </c>
      <c r="C25" s="15">
        <f t="shared" si="8"/>
        <v>0.41146392822265626</v>
      </c>
      <c r="D25" s="15">
        <f t="shared" si="0"/>
        <v>0.4114662170410156</v>
      </c>
      <c r="E25" s="15">
        <f t="shared" si="1"/>
        <v>9.5506231503541442E-2</v>
      </c>
      <c r="F25" s="15">
        <f t="shared" si="2"/>
        <v>-0.19544432079533647</v>
      </c>
      <c r="G25" s="15">
        <f t="shared" si="3"/>
        <v>0.53804362956815588</v>
      </c>
      <c r="H25" s="15">
        <f t="shared" si="4"/>
        <v>0.42252256128851146</v>
      </c>
      <c r="I25" s="15">
        <f t="shared" si="5"/>
        <v>8.2000007757371876</v>
      </c>
      <c r="J25" s="15">
        <f t="shared" si="6"/>
        <v>7.7573718826329241E-7</v>
      </c>
    </row>
    <row r="26" spans="1:10" x14ac:dyDescent="0.2">
      <c r="A26" s="15">
        <v>18</v>
      </c>
      <c r="B26" s="15">
        <f t="shared" si="7"/>
        <v>0.4114662170410156</v>
      </c>
      <c r="C26" s="15">
        <f t="shared" si="8"/>
        <v>0.41146392822265626</v>
      </c>
      <c r="D26" s="15">
        <f t="shared" si="0"/>
        <v>0.41146507263183596</v>
      </c>
      <c r="E26" s="15">
        <f t="shared" si="1"/>
        <v>9.5505687914725079E-2</v>
      </c>
      <c r="F26" s="15">
        <f t="shared" si="2"/>
        <v>-0.19544405516466146</v>
      </c>
      <c r="G26" s="15">
        <f t="shared" si="3"/>
        <v>0.53804341369437658</v>
      </c>
      <c r="H26" s="15">
        <f t="shared" si="4"/>
        <v>0.42252266525505555</v>
      </c>
      <c r="I26" s="15">
        <f t="shared" si="5"/>
        <v>8.1999766735208652</v>
      </c>
      <c r="J26" s="15">
        <f t="shared" si="6"/>
        <v>-2.3326479134055944E-5</v>
      </c>
    </row>
    <row r="27" spans="1:10" x14ac:dyDescent="0.2">
      <c r="A27" s="15">
        <v>19</v>
      </c>
      <c r="B27" s="15">
        <f t="shared" si="7"/>
        <v>0.4114662170410156</v>
      </c>
      <c r="C27" s="15">
        <f t="shared" si="8"/>
        <v>0.41146507263183596</v>
      </c>
      <c r="D27" s="16">
        <f t="shared" si="0"/>
        <v>0.41146564483642578</v>
      </c>
      <c r="E27" s="15">
        <f t="shared" si="1"/>
        <v>9.5505959709229871E-2</v>
      </c>
      <c r="F27" s="15">
        <f t="shared" si="2"/>
        <v>-0.19544418797990237</v>
      </c>
      <c r="G27" s="15">
        <f t="shared" si="3"/>
        <v>0.53804352163130598</v>
      </c>
      <c r="H27" s="15">
        <f t="shared" si="4"/>
        <v>0.42252261327182061</v>
      </c>
      <c r="I27" s="15">
        <f t="shared" si="5"/>
        <v>8.1999887246291863</v>
      </c>
      <c r="J27" s="15">
        <f t="shared" si="6"/>
        <v>-1.127537081302421E-5</v>
      </c>
    </row>
  </sheetData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12"/>
  <sheetViews>
    <sheetView workbookViewId="0">
      <selection activeCell="A2" sqref="A2"/>
    </sheetView>
  </sheetViews>
  <sheetFormatPr defaultRowHeight="12.75" x14ac:dyDescent="0.2"/>
  <cols>
    <col min="1" max="1" width="5.85546875" style="8" bestFit="1" customWidth="1"/>
    <col min="2" max="2" width="7.85546875" style="8" customWidth="1"/>
    <col min="3" max="3" width="9.140625" style="8"/>
    <col min="4" max="5" width="8.85546875" style="8" bestFit="1" customWidth="1"/>
    <col min="6" max="256" width="9.140625" style="8"/>
    <col min="257" max="257" width="5.85546875" style="8" bestFit="1" customWidth="1"/>
    <col min="258" max="258" width="7.85546875" style="8" customWidth="1"/>
    <col min="259" max="259" width="9.140625" style="8"/>
    <col min="260" max="261" width="8.85546875" style="8" bestFit="1" customWidth="1"/>
    <col min="262" max="512" width="9.140625" style="8"/>
    <col min="513" max="513" width="5.85546875" style="8" bestFit="1" customWidth="1"/>
    <col min="514" max="514" width="7.85546875" style="8" customWidth="1"/>
    <col min="515" max="515" width="9.140625" style="8"/>
    <col min="516" max="517" width="8.85546875" style="8" bestFit="1" customWidth="1"/>
    <col min="518" max="768" width="9.140625" style="8"/>
    <col min="769" max="769" width="5.85546875" style="8" bestFit="1" customWidth="1"/>
    <col min="770" max="770" width="7.85546875" style="8" customWidth="1"/>
    <col min="771" max="771" width="9.140625" style="8"/>
    <col min="772" max="773" width="8.85546875" style="8" bestFit="1" customWidth="1"/>
    <col min="774" max="1024" width="9.140625" style="8"/>
    <col min="1025" max="1025" width="5.85546875" style="8" bestFit="1" customWidth="1"/>
    <col min="1026" max="1026" width="7.85546875" style="8" customWidth="1"/>
    <col min="1027" max="1027" width="9.140625" style="8"/>
    <col min="1028" max="1029" width="8.85546875" style="8" bestFit="1" customWidth="1"/>
    <col min="1030" max="1280" width="9.140625" style="8"/>
    <col min="1281" max="1281" width="5.85546875" style="8" bestFit="1" customWidth="1"/>
    <col min="1282" max="1282" width="7.85546875" style="8" customWidth="1"/>
    <col min="1283" max="1283" width="9.140625" style="8"/>
    <col min="1284" max="1285" width="8.85546875" style="8" bestFit="1" customWidth="1"/>
    <col min="1286" max="1536" width="9.140625" style="8"/>
    <col min="1537" max="1537" width="5.85546875" style="8" bestFit="1" customWidth="1"/>
    <col min="1538" max="1538" width="7.85546875" style="8" customWidth="1"/>
    <col min="1539" max="1539" width="9.140625" style="8"/>
    <col min="1540" max="1541" width="8.85546875" style="8" bestFit="1" customWidth="1"/>
    <col min="1542" max="1792" width="9.140625" style="8"/>
    <col min="1793" max="1793" width="5.85546875" style="8" bestFit="1" customWidth="1"/>
    <col min="1794" max="1794" width="7.85546875" style="8" customWidth="1"/>
    <col min="1795" max="1795" width="9.140625" style="8"/>
    <col min="1796" max="1797" width="8.85546875" style="8" bestFit="1" customWidth="1"/>
    <col min="1798" max="2048" width="9.140625" style="8"/>
    <col min="2049" max="2049" width="5.85546875" style="8" bestFit="1" customWidth="1"/>
    <col min="2050" max="2050" width="7.85546875" style="8" customWidth="1"/>
    <col min="2051" max="2051" width="9.140625" style="8"/>
    <col min="2052" max="2053" width="8.85546875" style="8" bestFit="1" customWidth="1"/>
    <col min="2054" max="2304" width="9.140625" style="8"/>
    <col min="2305" max="2305" width="5.85546875" style="8" bestFit="1" customWidth="1"/>
    <col min="2306" max="2306" width="7.85546875" style="8" customWidth="1"/>
    <col min="2307" max="2307" width="9.140625" style="8"/>
    <col min="2308" max="2309" width="8.85546875" style="8" bestFit="1" customWidth="1"/>
    <col min="2310" max="2560" width="9.140625" style="8"/>
    <col min="2561" max="2561" width="5.85546875" style="8" bestFit="1" customWidth="1"/>
    <col min="2562" max="2562" width="7.85546875" style="8" customWidth="1"/>
    <col min="2563" max="2563" width="9.140625" style="8"/>
    <col min="2564" max="2565" width="8.85546875" style="8" bestFit="1" customWidth="1"/>
    <col min="2566" max="2816" width="9.140625" style="8"/>
    <col min="2817" max="2817" width="5.85546875" style="8" bestFit="1" customWidth="1"/>
    <col min="2818" max="2818" width="7.85546875" style="8" customWidth="1"/>
    <col min="2819" max="2819" width="9.140625" style="8"/>
    <col min="2820" max="2821" width="8.85546875" style="8" bestFit="1" customWidth="1"/>
    <col min="2822" max="3072" width="9.140625" style="8"/>
    <col min="3073" max="3073" width="5.85546875" style="8" bestFit="1" customWidth="1"/>
    <col min="3074" max="3074" width="7.85546875" style="8" customWidth="1"/>
    <col min="3075" max="3075" width="9.140625" style="8"/>
    <col min="3076" max="3077" width="8.85546875" style="8" bestFit="1" customWidth="1"/>
    <col min="3078" max="3328" width="9.140625" style="8"/>
    <col min="3329" max="3329" width="5.85546875" style="8" bestFit="1" customWidth="1"/>
    <col min="3330" max="3330" width="7.85546875" style="8" customWidth="1"/>
    <col min="3331" max="3331" width="9.140625" style="8"/>
    <col min="3332" max="3333" width="8.85546875" style="8" bestFit="1" customWidth="1"/>
    <col min="3334" max="3584" width="9.140625" style="8"/>
    <col min="3585" max="3585" width="5.85546875" style="8" bestFit="1" customWidth="1"/>
    <col min="3586" max="3586" width="7.85546875" style="8" customWidth="1"/>
    <col min="3587" max="3587" width="9.140625" style="8"/>
    <col min="3588" max="3589" width="8.85546875" style="8" bestFit="1" customWidth="1"/>
    <col min="3590" max="3840" width="9.140625" style="8"/>
    <col min="3841" max="3841" width="5.85546875" style="8" bestFit="1" customWidth="1"/>
    <col min="3842" max="3842" width="7.85546875" style="8" customWidth="1"/>
    <col min="3843" max="3843" width="9.140625" style="8"/>
    <col min="3844" max="3845" width="8.85546875" style="8" bestFit="1" customWidth="1"/>
    <col min="3846" max="4096" width="9.140625" style="8"/>
    <col min="4097" max="4097" width="5.85546875" style="8" bestFit="1" customWidth="1"/>
    <col min="4098" max="4098" width="7.85546875" style="8" customWidth="1"/>
    <col min="4099" max="4099" width="9.140625" style="8"/>
    <col min="4100" max="4101" width="8.85546875" style="8" bestFit="1" customWidth="1"/>
    <col min="4102" max="4352" width="9.140625" style="8"/>
    <col min="4353" max="4353" width="5.85546875" style="8" bestFit="1" customWidth="1"/>
    <col min="4354" max="4354" width="7.85546875" style="8" customWidth="1"/>
    <col min="4355" max="4355" width="9.140625" style="8"/>
    <col min="4356" max="4357" width="8.85546875" style="8" bestFit="1" customWidth="1"/>
    <col min="4358" max="4608" width="9.140625" style="8"/>
    <col min="4609" max="4609" width="5.85546875" style="8" bestFit="1" customWidth="1"/>
    <col min="4610" max="4610" width="7.85546875" style="8" customWidth="1"/>
    <col min="4611" max="4611" width="9.140625" style="8"/>
    <col min="4612" max="4613" width="8.85546875" style="8" bestFit="1" customWidth="1"/>
    <col min="4614" max="4864" width="9.140625" style="8"/>
    <col min="4865" max="4865" width="5.85546875" style="8" bestFit="1" customWidth="1"/>
    <col min="4866" max="4866" width="7.85546875" style="8" customWidth="1"/>
    <col min="4867" max="4867" width="9.140625" style="8"/>
    <col min="4868" max="4869" width="8.85546875" style="8" bestFit="1" customWidth="1"/>
    <col min="4870" max="5120" width="9.140625" style="8"/>
    <col min="5121" max="5121" width="5.85546875" style="8" bestFit="1" customWidth="1"/>
    <col min="5122" max="5122" width="7.85546875" style="8" customWidth="1"/>
    <col min="5123" max="5123" width="9.140625" style="8"/>
    <col min="5124" max="5125" width="8.85546875" style="8" bestFit="1" customWidth="1"/>
    <col min="5126" max="5376" width="9.140625" style="8"/>
    <col min="5377" max="5377" width="5.85546875" style="8" bestFit="1" customWidth="1"/>
    <col min="5378" max="5378" width="7.85546875" style="8" customWidth="1"/>
    <col min="5379" max="5379" width="9.140625" style="8"/>
    <col min="5380" max="5381" width="8.85546875" style="8" bestFit="1" customWidth="1"/>
    <col min="5382" max="5632" width="9.140625" style="8"/>
    <col min="5633" max="5633" width="5.85546875" style="8" bestFit="1" customWidth="1"/>
    <col min="5634" max="5634" width="7.85546875" style="8" customWidth="1"/>
    <col min="5635" max="5635" width="9.140625" style="8"/>
    <col min="5636" max="5637" width="8.85546875" style="8" bestFit="1" customWidth="1"/>
    <col min="5638" max="5888" width="9.140625" style="8"/>
    <col min="5889" max="5889" width="5.85546875" style="8" bestFit="1" customWidth="1"/>
    <col min="5890" max="5890" width="7.85546875" style="8" customWidth="1"/>
    <col min="5891" max="5891" width="9.140625" style="8"/>
    <col min="5892" max="5893" width="8.85546875" style="8" bestFit="1" customWidth="1"/>
    <col min="5894" max="6144" width="9.140625" style="8"/>
    <col min="6145" max="6145" width="5.85546875" style="8" bestFit="1" customWidth="1"/>
    <col min="6146" max="6146" width="7.85546875" style="8" customWidth="1"/>
    <col min="6147" max="6147" width="9.140625" style="8"/>
    <col min="6148" max="6149" width="8.85546875" style="8" bestFit="1" customWidth="1"/>
    <col min="6150" max="6400" width="9.140625" style="8"/>
    <col min="6401" max="6401" width="5.85546875" style="8" bestFit="1" customWidth="1"/>
    <col min="6402" max="6402" width="7.85546875" style="8" customWidth="1"/>
    <col min="6403" max="6403" width="9.140625" style="8"/>
    <col min="6404" max="6405" width="8.85546875" style="8" bestFit="1" customWidth="1"/>
    <col min="6406" max="6656" width="9.140625" style="8"/>
    <col min="6657" max="6657" width="5.85546875" style="8" bestFit="1" customWidth="1"/>
    <col min="6658" max="6658" width="7.85546875" style="8" customWidth="1"/>
    <col min="6659" max="6659" width="9.140625" style="8"/>
    <col min="6660" max="6661" width="8.85546875" style="8" bestFit="1" customWidth="1"/>
    <col min="6662" max="6912" width="9.140625" style="8"/>
    <col min="6913" max="6913" width="5.85546875" style="8" bestFit="1" customWidth="1"/>
    <col min="6914" max="6914" width="7.85546875" style="8" customWidth="1"/>
    <col min="6915" max="6915" width="9.140625" style="8"/>
    <col min="6916" max="6917" width="8.85546875" style="8" bestFit="1" customWidth="1"/>
    <col min="6918" max="7168" width="9.140625" style="8"/>
    <col min="7169" max="7169" width="5.85546875" style="8" bestFit="1" customWidth="1"/>
    <col min="7170" max="7170" width="7.85546875" style="8" customWidth="1"/>
    <col min="7171" max="7171" width="9.140625" style="8"/>
    <col min="7172" max="7173" width="8.85546875" style="8" bestFit="1" customWidth="1"/>
    <col min="7174" max="7424" width="9.140625" style="8"/>
    <col min="7425" max="7425" width="5.85546875" style="8" bestFit="1" customWidth="1"/>
    <col min="7426" max="7426" width="7.85546875" style="8" customWidth="1"/>
    <col min="7427" max="7427" width="9.140625" style="8"/>
    <col min="7428" max="7429" width="8.85546875" style="8" bestFit="1" customWidth="1"/>
    <col min="7430" max="7680" width="9.140625" style="8"/>
    <col min="7681" max="7681" width="5.85546875" style="8" bestFit="1" customWidth="1"/>
    <col min="7682" max="7682" width="7.85546875" style="8" customWidth="1"/>
    <col min="7683" max="7683" width="9.140625" style="8"/>
    <col min="7684" max="7685" width="8.85546875" style="8" bestFit="1" customWidth="1"/>
    <col min="7686" max="7936" width="9.140625" style="8"/>
    <col min="7937" max="7937" width="5.85546875" style="8" bestFit="1" customWidth="1"/>
    <col min="7938" max="7938" width="7.85546875" style="8" customWidth="1"/>
    <col min="7939" max="7939" width="9.140625" style="8"/>
    <col min="7940" max="7941" width="8.85546875" style="8" bestFit="1" customWidth="1"/>
    <col min="7942" max="8192" width="9.140625" style="8"/>
    <col min="8193" max="8193" width="5.85546875" style="8" bestFit="1" customWidth="1"/>
    <col min="8194" max="8194" width="7.85546875" style="8" customWidth="1"/>
    <col min="8195" max="8195" width="9.140625" style="8"/>
    <col min="8196" max="8197" width="8.85546875" style="8" bestFit="1" customWidth="1"/>
    <col min="8198" max="8448" width="9.140625" style="8"/>
    <col min="8449" max="8449" width="5.85546875" style="8" bestFit="1" customWidth="1"/>
    <col min="8450" max="8450" width="7.85546875" style="8" customWidth="1"/>
    <col min="8451" max="8451" width="9.140625" style="8"/>
    <col min="8452" max="8453" width="8.85546875" style="8" bestFit="1" customWidth="1"/>
    <col min="8454" max="8704" width="9.140625" style="8"/>
    <col min="8705" max="8705" width="5.85546875" style="8" bestFit="1" customWidth="1"/>
    <col min="8706" max="8706" width="7.85546875" style="8" customWidth="1"/>
    <col min="8707" max="8707" width="9.140625" style="8"/>
    <col min="8708" max="8709" width="8.85546875" style="8" bestFit="1" customWidth="1"/>
    <col min="8710" max="8960" width="9.140625" style="8"/>
    <col min="8961" max="8961" width="5.85546875" style="8" bestFit="1" customWidth="1"/>
    <col min="8962" max="8962" width="7.85546875" style="8" customWidth="1"/>
    <col min="8963" max="8963" width="9.140625" style="8"/>
    <col min="8964" max="8965" width="8.85546875" style="8" bestFit="1" customWidth="1"/>
    <col min="8966" max="9216" width="9.140625" style="8"/>
    <col min="9217" max="9217" width="5.85546875" style="8" bestFit="1" customWidth="1"/>
    <col min="9218" max="9218" width="7.85546875" style="8" customWidth="1"/>
    <col min="9219" max="9219" width="9.140625" style="8"/>
    <col min="9220" max="9221" width="8.85546875" style="8" bestFit="1" customWidth="1"/>
    <col min="9222" max="9472" width="9.140625" style="8"/>
    <col min="9473" max="9473" width="5.85546875" style="8" bestFit="1" customWidth="1"/>
    <col min="9474" max="9474" width="7.85546875" style="8" customWidth="1"/>
    <col min="9475" max="9475" width="9.140625" style="8"/>
    <col min="9476" max="9477" width="8.85546875" style="8" bestFit="1" customWidth="1"/>
    <col min="9478" max="9728" width="9.140625" style="8"/>
    <col min="9729" max="9729" width="5.85546875" style="8" bestFit="1" customWidth="1"/>
    <col min="9730" max="9730" width="7.85546875" style="8" customWidth="1"/>
    <col min="9731" max="9731" width="9.140625" style="8"/>
    <col min="9732" max="9733" width="8.85546875" style="8" bestFit="1" customWidth="1"/>
    <col min="9734" max="9984" width="9.140625" style="8"/>
    <col min="9985" max="9985" width="5.85546875" style="8" bestFit="1" customWidth="1"/>
    <col min="9986" max="9986" width="7.85546875" style="8" customWidth="1"/>
    <col min="9987" max="9987" width="9.140625" style="8"/>
    <col min="9988" max="9989" width="8.85546875" style="8" bestFit="1" customWidth="1"/>
    <col min="9990" max="10240" width="9.140625" style="8"/>
    <col min="10241" max="10241" width="5.85546875" style="8" bestFit="1" customWidth="1"/>
    <col min="10242" max="10242" width="7.85546875" style="8" customWidth="1"/>
    <col min="10243" max="10243" width="9.140625" style="8"/>
    <col min="10244" max="10245" width="8.85546875" style="8" bestFit="1" customWidth="1"/>
    <col min="10246" max="10496" width="9.140625" style="8"/>
    <col min="10497" max="10497" width="5.85546875" style="8" bestFit="1" customWidth="1"/>
    <col min="10498" max="10498" width="7.85546875" style="8" customWidth="1"/>
    <col min="10499" max="10499" width="9.140625" style="8"/>
    <col min="10500" max="10501" width="8.85546875" style="8" bestFit="1" customWidth="1"/>
    <col min="10502" max="10752" width="9.140625" style="8"/>
    <col min="10753" max="10753" width="5.85546875" style="8" bestFit="1" customWidth="1"/>
    <col min="10754" max="10754" width="7.85546875" style="8" customWidth="1"/>
    <col min="10755" max="10755" width="9.140625" style="8"/>
    <col min="10756" max="10757" width="8.85546875" style="8" bestFit="1" customWidth="1"/>
    <col min="10758" max="11008" width="9.140625" style="8"/>
    <col min="11009" max="11009" width="5.85546875" style="8" bestFit="1" customWidth="1"/>
    <col min="11010" max="11010" width="7.85546875" style="8" customWidth="1"/>
    <col min="11011" max="11011" width="9.140625" style="8"/>
    <col min="11012" max="11013" width="8.85546875" style="8" bestFit="1" customWidth="1"/>
    <col min="11014" max="11264" width="9.140625" style="8"/>
    <col min="11265" max="11265" width="5.85546875" style="8" bestFit="1" customWidth="1"/>
    <col min="11266" max="11266" width="7.85546875" style="8" customWidth="1"/>
    <col min="11267" max="11267" width="9.140625" style="8"/>
    <col min="11268" max="11269" width="8.85546875" style="8" bestFit="1" customWidth="1"/>
    <col min="11270" max="11520" width="9.140625" style="8"/>
    <col min="11521" max="11521" width="5.85546875" style="8" bestFit="1" customWidth="1"/>
    <col min="11522" max="11522" width="7.85546875" style="8" customWidth="1"/>
    <col min="11523" max="11523" width="9.140625" style="8"/>
    <col min="11524" max="11525" width="8.85546875" style="8" bestFit="1" customWidth="1"/>
    <col min="11526" max="11776" width="9.140625" style="8"/>
    <col min="11777" max="11777" width="5.85546875" style="8" bestFit="1" customWidth="1"/>
    <col min="11778" max="11778" width="7.85546875" style="8" customWidth="1"/>
    <col min="11779" max="11779" width="9.140625" style="8"/>
    <col min="11780" max="11781" width="8.85546875" style="8" bestFit="1" customWidth="1"/>
    <col min="11782" max="12032" width="9.140625" style="8"/>
    <col min="12033" max="12033" width="5.85546875" style="8" bestFit="1" customWidth="1"/>
    <col min="12034" max="12034" width="7.85546875" style="8" customWidth="1"/>
    <col min="12035" max="12035" width="9.140625" style="8"/>
    <col min="12036" max="12037" width="8.85546875" style="8" bestFit="1" customWidth="1"/>
    <col min="12038" max="12288" width="9.140625" style="8"/>
    <col min="12289" max="12289" width="5.85546875" style="8" bestFit="1" customWidth="1"/>
    <col min="12290" max="12290" width="7.85546875" style="8" customWidth="1"/>
    <col min="12291" max="12291" width="9.140625" style="8"/>
    <col min="12292" max="12293" width="8.85546875" style="8" bestFit="1" customWidth="1"/>
    <col min="12294" max="12544" width="9.140625" style="8"/>
    <col min="12545" max="12545" width="5.85546875" style="8" bestFit="1" customWidth="1"/>
    <col min="12546" max="12546" width="7.85546875" style="8" customWidth="1"/>
    <col min="12547" max="12547" width="9.140625" style="8"/>
    <col min="12548" max="12549" width="8.85546875" style="8" bestFit="1" customWidth="1"/>
    <col min="12550" max="12800" width="9.140625" style="8"/>
    <col min="12801" max="12801" width="5.85546875" style="8" bestFit="1" customWidth="1"/>
    <col min="12802" max="12802" width="7.85546875" style="8" customWidth="1"/>
    <col min="12803" max="12803" width="9.140625" style="8"/>
    <col min="12804" max="12805" width="8.85546875" style="8" bestFit="1" customWidth="1"/>
    <col min="12806" max="13056" width="9.140625" style="8"/>
    <col min="13057" max="13057" width="5.85546875" style="8" bestFit="1" customWidth="1"/>
    <col min="13058" max="13058" width="7.85546875" style="8" customWidth="1"/>
    <col min="13059" max="13059" width="9.140625" style="8"/>
    <col min="13060" max="13061" width="8.85546875" style="8" bestFit="1" customWidth="1"/>
    <col min="13062" max="13312" width="9.140625" style="8"/>
    <col min="13313" max="13313" width="5.85546875" style="8" bestFit="1" customWidth="1"/>
    <col min="13314" max="13314" width="7.85546875" style="8" customWidth="1"/>
    <col min="13315" max="13315" width="9.140625" style="8"/>
    <col min="13316" max="13317" width="8.85546875" style="8" bestFit="1" customWidth="1"/>
    <col min="13318" max="13568" width="9.140625" style="8"/>
    <col min="13569" max="13569" width="5.85546875" style="8" bestFit="1" customWidth="1"/>
    <col min="13570" max="13570" width="7.85546875" style="8" customWidth="1"/>
    <col min="13571" max="13571" width="9.140625" style="8"/>
    <col min="13572" max="13573" width="8.85546875" style="8" bestFit="1" customWidth="1"/>
    <col min="13574" max="13824" width="9.140625" style="8"/>
    <col min="13825" max="13825" width="5.85546875" style="8" bestFit="1" customWidth="1"/>
    <col min="13826" max="13826" width="7.85546875" style="8" customWidth="1"/>
    <col min="13827" max="13827" width="9.140625" style="8"/>
    <col min="13828" max="13829" width="8.85546875" style="8" bestFit="1" customWidth="1"/>
    <col min="13830" max="14080" width="9.140625" style="8"/>
    <col min="14081" max="14081" width="5.85546875" style="8" bestFit="1" customWidth="1"/>
    <col min="14082" max="14082" width="7.85546875" style="8" customWidth="1"/>
    <col min="14083" max="14083" width="9.140625" style="8"/>
    <col min="14084" max="14085" width="8.85546875" style="8" bestFit="1" customWidth="1"/>
    <col min="14086" max="14336" width="9.140625" style="8"/>
    <col min="14337" max="14337" width="5.85546875" style="8" bestFit="1" customWidth="1"/>
    <col min="14338" max="14338" width="7.85546875" style="8" customWidth="1"/>
    <col min="14339" max="14339" width="9.140625" style="8"/>
    <col min="14340" max="14341" width="8.85546875" style="8" bestFit="1" customWidth="1"/>
    <col min="14342" max="14592" width="9.140625" style="8"/>
    <col min="14593" max="14593" width="5.85546875" style="8" bestFit="1" customWidth="1"/>
    <col min="14594" max="14594" width="7.85546875" style="8" customWidth="1"/>
    <col min="14595" max="14595" width="9.140625" style="8"/>
    <col min="14596" max="14597" width="8.85546875" style="8" bestFit="1" customWidth="1"/>
    <col min="14598" max="14848" width="9.140625" style="8"/>
    <col min="14849" max="14849" width="5.85546875" style="8" bestFit="1" customWidth="1"/>
    <col min="14850" max="14850" width="7.85546875" style="8" customWidth="1"/>
    <col min="14851" max="14851" width="9.140625" style="8"/>
    <col min="14852" max="14853" width="8.85546875" style="8" bestFit="1" customWidth="1"/>
    <col min="14854" max="15104" width="9.140625" style="8"/>
    <col min="15105" max="15105" width="5.85546875" style="8" bestFit="1" customWidth="1"/>
    <col min="15106" max="15106" width="7.85546875" style="8" customWidth="1"/>
    <col min="15107" max="15107" width="9.140625" style="8"/>
    <col min="15108" max="15109" width="8.85546875" style="8" bestFit="1" customWidth="1"/>
    <col min="15110" max="15360" width="9.140625" style="8"/>
    <col min="15361" max="15361" width="5.85546875" style="8" bestFit="1" customWidth="1"/>
    <col min="15362" max="15362" width="7.85546875" style="8" customWidth="1"/>
    <col min="15363" max="15363" width="9.140625" style="8"/>
    <col min="15364" max="15365" width="8.85546875" style="8" bestFit="1" customWidth="1"/>
    <col min="15366" max="15616" width="9.140625" style="8"/>
    <col min="15617" max="15617" width="5.85546875" style="8" bestFit="1" customWidth="1"/>
    <col min="15618" max="15618" width="7.85546875" style="8" customWidth="1"/>
    <col min="15619" max="15619" width="9.140625" style="8"/>
    <col min="15620" max="15621" width="8.85546875" style="8" bestFit="1" customWidth="1"/>
    <col min="15622" max="15872" width="9.140625" style="8"/>
    <col min="15873" max="15873" width="5.85546875" style="8" bestFit="1" customWidth="1"/>
    <col min="15874" max="15874" width="7.85546875" style="8" customWidth="1"/>
    <col min="15875" max="15875" width="9.140625" style="8"/>
    <col min="15876" max="15877" width="8.85546875" style="8" bestFit="1" customWidth="1"/>
    <col min="15878" max="16128" width="9.140625" style="8"/>
    <col min="16129" max="16129" width="5.85546875" style="8" bestFit="1" customWidth="1"/>
    <col min="16130" max="16130" width="7.85546875" style="8" customWidth="1"/>
    <col min="16131" max="16131" width="9.140625" style="8"/>
    <col min="16132" max="16133" width="8.85546875" style="8" bestFit="1" customWidth="1"/>
    <col min="16134" max="16384" width="9.140625" style="8"/>
  </cols>
  <sheetData>
    <row r="1" spans="1:9" ht="18.75" x14ac:dyDescent="0.3">
      <c r="A1" s="34" t="s">
        <v>58</v>
      </c>
      <c r="B1" s="33"/>
      <c r="C1" s="33"/>
      <c r="D1" s="33"/>
      <c r="E1" s="33"/>
      <c r="F1" s="33"/>
      <c r="G1" s="33"/>
      <c r="H1" s="33"/>
      <c r="I1" s="33"/>
    </row>
    <row r="2" spans="1:9" ht="13.5" x14ac:dyDescent="0.25">
      <c r="A2" s="31" t="s">
        <v>57</v>
      </c>
      <c r="B2" s="8">
        <v>0.6</v>
      </c>
      <c r="D2" s="31" t="s">
        <v>56</v>
      </c>
      <c r="E2" s="8">
        <v>75</v>
      </c>
    </row>
    <row r="3" spans="1:9" ht="13.5" x14ac:dyDescent="0.25">
      <c r="A3" s="31" t="s">
        <v>55</v>
      </c>
      <c r="B3" s="8">
        <v>0.1</v>
      </c>
      <c r="D3" s="32" t="s">
        <v>54</v>
      </c>
      <c r="E3" s="8">
        <v>0.5</v>
      </c>
    </row>
    <row r="4" spans="1:9" ht="13.5" x14ac:dyDescent="0.25">
      <c r="A4" s="32" t="s">
        <v>53</v>
      </c>
      <c r="B4" s="8">
        <v>8.1999999999999993</v>
      </c>
      <c r="D4" s="31" t="s">
        <v>52</v>
      </c>
      <c r="E4" s="8">
        <v>80</v>
      </c>
    </row>
    <row r="6" spans="1:9" ht="13.5" x14ac:dyDescent="0.25">
      <c r="A6" s="29" t="s">
        <v>33</v>
      </c>
      <c r="B6" s="30" t="s">
        <v>51</v>
      </c>
      <c r="C6" s="30" t="s">
        <v>50</v>
      </c>
      <c r="D6" s="30" t="s">
        <v>49</v>
      </c>
      <c r="E6" s="30" t="s">
        <v>48</v>
      </c>
      <c r="F6" s="30" t="s">
        <v>47</v>
      </c>
      <c r="G6" s="30" t="s">
        <v>46</v>
      </c>
      <c r="H6" s="30" t="s">
        <v>45</v>
      </c>
    </row>
    <row r="7" spans="1:9" x14ac:dyDescent="0.2">
      <c r="A7" s="29">
        <v>1</v>
      </c>
      <c r="B7" s="8">
        <f>B2</f>
        <v>0.6</v>
      </c>
      <c r="C7" s="8">
        <f t="shared" ref="C7:C12" si="0">($E$2*$E$3^0.5*2.7182818^(-(D7^2)/2))/((2*3.14159)^0.5)</f>
        <v>20.825090590487285</v>
      </c>
      <c r="D7" s="21">
        <f t="shared" ref="D7:D12" si="1">(LN($E$2/$E$4)+($B$3+0.5*B7^2)*$E$3)/(B7*$E$3^0.5)</f>
        <v>0.17786441140662915</v>
      </c>
      <c r="E7" s="8">
        <f t="shared" ref="E7:E12" si="2">D7-B7*$E$3^0.5</f>
        <v>-0.24639965730529936</v>
      </c>
      <c r="F7" s="21">
        <f t="shared" ref="F7:G12" si="3">NORMDIST(D7,0,1,TRUE)</f>
        <v>0.57058526963873102</v>
      </c>
      <c r="G7" s="21">
        <f t="shared" si="3"/>
        <v>0.4026864357466956</v>
      </c>
      <c r="H7" s="21">
        <f t="shared" ref="H7:H12" si="4">$E$2*F7-$E$4*2.7182818^(-$B$3*$E$3)*G7-$B$4</f>
        <v>3.9501202844977463</v>
      </c>
    </row>
    <row r="8" spans="1:9" x14ac:dyDescent="0.2">
      <c r="A8" s="29">
        <v>2</v>
      </c>
      <c r="B8" s="8">
        <f>B7-(H7/C7)</f>
        <v>0.4103191788129783</v>
      </c>
      <c r="C8" s="8">
        <f t="shared" si="0"/>
        <v>21.061939915427054</v>
      </c>
      <c r="D8" s="21">
        <f t="shared" si="1"/>
        <v>9.4961004885024167E-2</v>
      </c>
      <c r="E8" s="8">
        <f t="shared" si="2"/>
        <v>-0.19517846890452833</v>
      </c>
      <c r="F8" s="21">
        <f t="shared" si="3"/>
        <v>0.53782709975230114</v>
      </c>
      <c r="G8" s="21">
        <f t="shared" si="3"/>
        <v>0.42262661711473387</v>
      </c>
      <c r="H8" s="21">
        <f t="shared" si="4"/>
        <v>-2.4157437551540539E-2</v>
      </c>
    </row>
    <row r="9" spans="1:9" x14ac:dyDescent="0.2">
      <c r="A9" s="29">
        <v>3</v>
      </c>
      <c r="B9" s="8">
        <f>B8-(H8/C8)</f>
        <v>0.41146614996798792</v>
      </c>
      <c r="C9" s="8">
        <f t="shared" si="0"/>
        <v>21.060846389775524</v>
      </c>
      <c r="D9" s="21">
        <f t="shared" si="1"/>
        <v>9.5506199644199499E-2</v>
      </c>
      <c r="E9" s="8">
        <f t="shared" si="2"/>
        <v>-0.19544430522688572</v>
      </c>
      <c r="F9" s="21">
        <f t="shared" si="3"/>
        <v>0.53804361691595215</v>
      </c>
      <c r="G9" s="21">
        <f t="shared" si="3"/>
        <v>0.42252256738192662</v>
      </c>
      <c r="H9" s="21">
        <f t="shared" si="4"/>
        <v>-6.3687695828207325E-7</v>
      </c>
    </row>
    <row r="10" spans="1:9" x14ac:dyDescent="0.2">
      <c r="A10" s="29">
        <v>4</v>
      </c>
      <c r="B10" s="8">
        <f>B9-(H9/C9)</f>
        <v>0.41146618020784376</v>
      </c>
      <c r="C10" s="8">
        <f t="shared" si="0"/>
        <v>21.060846360883627</v>
      </c>
      <c r="D10" s="21">
        <f t="shared" si="1"/>
        <v>9.5506214007975265E-2</v>
      </c>
      <c r="E10" s="8">
        <f t="shared" si="2"/>
        <v>-0.19544431224591707</v>
      </c>
      <c r="F10" s="21">
        <f t="shared" si="3"/>
        <v>0.53804362262019478</v>
      </c>
      <c r="G10" s="21">
        <f t="shared" si="3"/>
        <v>0.42252256463471222</v>
      </c>
      <c r="H10" s="21">
        <f t="shared" si="4"/>
        <v>-2.5934809855243657E-13</v>
      </c>
    </row>
    <row r="11" spans="1:9" x14ac:dyDescent="0.2">
      <c r="A11" s="29">
        <v>5</v>
      </c>
      <c r="B11" s="8">
        <f>B10-(H10/C10)</f>
        <v>0.41146618020785608</v>
      </c>
      <c r="C11" s="8">
        <f t="shared" si="0"/>
        <v>21.060846360883613</v>
      </c>
      <c r="D11" s="21">
        <f t="shared" si="1"/>
        <v>9.550621400798108E-2</v>
      </c>
      <c r="E11" s="8">
        <f t="shared" si="2"/>
        <v>-0.19544431224591996</v>
      </c>
      <c r="F11" s="21">
        <f t="shared" si="3"/>
        <v>0.53804362262019712</v>
      </c>
      <c r="G11" s="21">
        <f t="shared" si="3"/>
        <v>0.42252256463471111</v>
      </c>
      <c r="H11" s="21">
        <f t="shared" si="4"/>
        <v>0</v>
      </c>
    </row>
    <row r="12" spans="1:9" x14ac:dyDescent="0.2">
      <c r="A12" s="29">
        <v>6</v>
      </c>
      <c r="B12" s="8">
        <f>B11-(H11/C11)</f>
        <v>0.41146618020785608</v>
      </c>
      <c r="C12" s="8">
        <f t="shared" si="0"/>
        <v>21.060846360883613</v>
      </c>
      <c r="D12" s="21">
        <f t="shared" si="1"/>
        <v>9.550621400798108E-2</v>
      </c>
      <c r="E12" s="8">
        <f t="shared" si="2"/>
        <v>-0.19544431224591996</v>
      </c>
      <c r="F12" s="21">
        <f t="shared" si="3"/>
        <v>0.53804362262019712</v>
      </c>
      <c r="G12" s="21">
        <f t="shared" si="3"/>
        <v>0.42252256463471111</v>
      </c>
      <c r="H12" s="21">
        <f t="shared" si="4"/>
        <v>0</v>
      </c>
    </row>
  </sheetData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R12"/>
  <sheetViews>
    <sheetView workbookViewId="0">
      <selection activeCell="A13" sqref="A13"/>
    </sheetView>
  </sheetViews>
  <sheetFormatPr defaultRowHeight="12.75" x14ac:dyDescent="0.2"/>
  <cols>
    <col min="1" max="1" width="17.85546875" style="8" customWidth="1"/>
    <col min="2" max="2" width="8.42578125" style="8" customWidth="1"/>
    <col min="3" max="3" width="6.5703125" style="8" customWidth="1"/>
    <col min="4" max="4" width="9.140625" style="8"/>
    <col min="5" max="5" width="15.140625" style="8" customWidth="1"/>
    <col min="6" max="16384" width="9.140625" style="8"/>
  </cols>
  <sheetData>
    <row r="1" spans="1:18" s="13" customFormat="1" ht="18" x14ac:dyDescent="0.25">
      <c r="A1" s="14" t="s">
        <v>22</v>
      </c>
    </row>
    <row r="2" spans="1:18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12" t="s">
        <v>21</v>
      </c>
      <c r="B3" s="12" t="s">
        <v>20</v>
      </c>
      <c r="C3" s="12" t="s">
        <v>19</v>
      </c>
      <c r="D3" s="13"/>
      <c r="E3" s="12" t="s">
        <v>18</v>
      </c>
      <c r="F3" s="12" t="s">
        <v>17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12" t="s">
        <v>16</v>
      </c>
      <c r="B4" s="11" t="s">
        <v>15</v>
      </c>
      <c r="C4" s="8">
        <v>30</v>
      </c>
      <c r="E4" s="11" t="s">
        <v>14</v>
      </c>
      <c r="F4" s="8">
        <f>((LN(C4/C5))+(C6+0.5*C7^2)*C8)/(C7*C8^0.5)</f>
        <v>-0.35055059032555297</v>
      </c>
    </row>
    <row r="5" spans="1:18" x14ac:dyDescent="0.2">
      <c r="A5" s="12" t="s">
        <v>13</v>
      </c>
      <c r="B5" s="11" t="s">
        <v>12</v>
      </c>
      <c r="C5" s="8">
        <v>35</v>
      </c>
      <c r="E5" s="11" t="s">
        <v>11</v>
      </c>
      <c r="F5" s="8">
        <f>F4-C7*C8^0.5</f>
        <v>-0.63339330280017203</v>
      </c>
    </row>
    <row r="6" spans="1:18" x14ac:dyDescent="0.2">
      <c r="A6" s="12" t="s">
        <v>10</v>
      </c>
      <c r="B6" s="11" t="s">
        <v>9</v>
      </c>
      <c r="C6" s="8">
        <v>0.03</v>
      </c>
      <c r="E6" s="11" t="s">
        <v>8</v>
      </c>
      <c r="F6" s="8">
        <f>NORMDIST(F4,0,1,1)</f>
        <v>0.36296276503571989</v>
      </c>
    </row>
    <row r="7" spans="1:18" x14ac:dyDescent="0.2">
      <c r="A7" s="12" t="s">
        <v>7</v>
      </c>
      <c r="B7" s="11" t="s">
        <v>6</v>
      </c>
      <c r="C7" s="8">
        <v>0.4</v>
      </c>
      <c r="E7" s="11" t="s">
        <v>5</v>
      </c>
      <c r="F7" s="8">
        <f>NORMDIST(F5,0,1,1)</f>
        <v>0.26323841868434872</v>
      </c>
    </row>
    <row r="8" spans="1:18" x14ac:dyDescent="0.2">
      <c r="A8" s="12" t="s">
        <v>4</v>
      </c>
      <c r="B8" s="11" t="s">
        <v>3</v>
      </c>
      <c r="C8" s="8">
        <v>0.5</v>
      </c>
      <c r="E8" s="11" t="s">
        <v>2</v>
      </c>
      <c r="F8" s="8">
        <f>C4*F6-C5*2.7182818^(-C6*C8)*F7</f>
        <v>1.8127071273598876</v>
      </c>
      <c r="G8" s="10" t="s">
        <v>23</v>
      </c>
    </row>
    <row r="12" spans="1:18" ht="15.75" x14ac:dyDescent="0.25">
      <c r="A12" s="9" t="s">
        <v>0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0</xdr:col>
                <xdr:colOff>819150</xdr:colOff>
                <xdr:row>12</xdr:row>
                <xdr:rowOff>104775</xdr:rowOff>
              </from>
              <to>
                <xdr:col>4</xdr:col>
                <xdr:colOff>542925</xdr:colOff>
                <xdr:row>16</xdr:row>
                <xdr:rowOff>85725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0</xdr:col>
                <xdr:colOff>819150</xdr:colOff>
                <xdr:row>16</xdr:row>
                <xdr:rowOff>76200</xdr:rowOff>
              </from>
              <to>
                <xdr:col>4</xdr:col>
                <xdr:colOff>800100</xdr:colOff>
                <xdr:row>22</xdr:row>
                <xdr:rowOff>123825</xdr:rowOff>
              </to>
            </anchor>
          </objectPr>
        </oleObject>
      </mc:Choice>
      <mc:Fallback>
        <oleObject progId="Equation.3" shapeId="3074" r:id="rId6"/>
      </mc:Fallback>
    </mc:AlternateContent>
    <mc:AlternateContent xmlns:mc="http://schemas.openxmlformats.org/markup-compatibility/2006">
      <mc:Choice Requires="x14">
        <oleObject progId="Equation.3" shapeId="3075" r:id="rId8">
          <objectPr defaultSize="0" autoPict="0" r:id="rId9">
            <anchor moveWithCells="1" sizeWithCells="1">
              <from>
                <xdr:col>0</xdr:col>
                <xdr:colOff>800100</xdr:colOff>
                <xdr:row>24</xdr:row>
                <xdr:rowOff>19050</xdr:rowOff>
              </from>
              <to>
                <xdr:col>3</xdr:col>
                <xdr:colOff>104775</xdr:colOff>
                <xdr:row>26</xdr:row>
                <xdr:rowOff>57150</xdr:rowOff>
              </to>
            </anchor>
          </objectPr>
        </oleObject>
      </mc:Choice>
      <mc:Fallback>
        <oleObject progId="Equation.3" shapeId="3075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selection sqref="A1:J27"/>
    </sheetView>
  </sheetViews>
  <sheetFormatPr defaultRowHeight="12.75" x14ac:dyDescent="0.2"/>
  <cols>
    <col min="1" max="1" width="21" style="8" customWidth="1"/>
    <col min="2" max="3" width="9.140625" style="8"/>
    <col min="4" max="4" width="6.28515625" style="8" customWidth="1"/>
    <col min="5" max="5" width="14.5703125" style="8" customWidth="1"/>
    <col min="6" max="6" width="12.42578125" style="8" customWidth="1"/>
    <col min="7" max="7" width="9.85546875" style="8" customWidth="1"/>
    <col min="8" max="16384" width="9.140625" style="8"/>
  </cols>
  <sheetData>
    <row r="1" spans="1:11" ht="18" x14ac:dyDescent="0.25">
      <c r="A1" s="14" t="s">
        <v>120</v>
      </c>
      <c r="B1" s="13"/>
      <c r="C1" s="13"/>
      <c r="D1" s="13"/>
      <c r="E1" s="13"/>
      <c r="F1" s="13"/>
    </row>
    <row r="2" spans="1:11" x14ac:dyDescent="0.2">
      <c r="A2" s="13"/>
      <c r="B2" s="13"/>
      <c r="C2" s="13"/>
      <c r="D2" s="13"/>
      <c r="E2" s="13"/>
      <c r="F2" s="13"/>
    </row>
    <row r="3" spans="1:11" x14ac:dyDescent="0.2">
      <c r="A3" s="12" t="s">
        <v>21</v>
      </c>
      <c r="B3" s="12" t="s">
        <v>20</v>
      </c>
      <c r="C3" s="12" t="s">
        <v>19</v>
      </c>
      <c r="D3" s="13"/>
      <c r="E3" s="12" t="s">
        <v>18</v>
      </c>
      <c r="F3" s="12" t="s">
        <v>17</v>
      </c>
    </row>
    <row r="4" spans="1:11" x14ac:dyDescent="0.2">
      <c r="A4" s="12" t="s">
        <v>16</v>
      </c>
      <c r="B4" s="11" t="s">
        <v>15</v>
      </c>
      <c r="C4" s="37">
        <v>50</v>
      </c>
      <c r="E4" s="11" t="s">
        <v>14</v>
      </c>
      <c r="F4" s="8">
        <f>((LN((C4-IF(C11&lt;C9,C10*EXP(-C7*C11),0))/B13))+(C7+0.5*C8^2)*C11)/(C8*C11^0.5)</f>
        <v>0.82440424714142491</v>
      </c>
      <c r="G4" s="8">
        <f>((LN((C4-IF(C11&lt;C9,C10*EXP(-C7*C9),0))/C6))+(C7+0.5*C8^2)*C9)/(C8*C9^0.5)</f>
        <v>0.5669600402811027</v>
      </c>
      <c r="H4" s="60" t="s">
        <v>119</v>
      </c>
      <c r="I4" s="39"/>
    </row>
    <row r="5" spans="1:11" ht="14.25" x14ac:dyDescent="0.25">
      <c r="A5" s="12" t="s">
        <v>118</v>
      </c>
      <c r="B5" s="11" t="s">
        <v>101</v>
      </c>
      <c r="C5" s="37">
        <v>3</v>
      </c>
      <c r="E5" s="11" t="s">
        <v>11</v>
      </c>
      <c r="F5" s="8">
        <f>F4-C8*C11^0.5</f>
        <v>0.62440424714142484</v>
      </c>
      <c r="G5" s="8">
        <f>(G4-C8*C9^0.5)</f>
        <v>0.28411732780648363</v>
      </c>
      <c r="H5" s="60" t="s">
        <v>117</v>
      </c>
      <c r="I5" s="39"/>
    </row>
    <row r="6" spans="1:11" ht="14.25" x14ac:dyDescent="0.25">
      <c r="A6" s="38" t="s">
        <v>116</v>
      </c>
      <c r="B6" s="11" t="s">
        <v>115</v>
      </c>
      <c r="C6" s="37">
        <v>45</v>
      </c>
      <c r="E6" s="11" t="s">
        <v>8</v>
      </c>
      <c r="F6" s="8">
        <f>NORMDIST(F4,0,1,1)</f>
        <v>0.79514504878571601</v>
      </c>
      <c r="G6" s="8">
        <f>NORMDIST(G4,0,1,1)</f>
        <v>0.71462933459470079</v>
      </c>
      <c r="H6" s="61" t="s">
        <v>114</v>
      </c>
    </row>
    <row r="7" spans="1:11" ht="14.25" x14ac:dyDescent="0.25">
      <c r="A7" s="12" t="s">
        <v>10</v>
      </c>
      <c r="B7" s="11" t="s">
        <v>9</v>
      </c>
      <c r="C7" s="37">
        <v>0.03</v>
      </c>
      <c r="E7" s="11" t="s">
        <v>5</v>
      </c>
      <c r="F7" s="8">
        <f>NORMDIST(F5,0,1,1)</f>
        <v>0.73381893172595891</v>
      </c>
      <c r="G7" s="8">
        <f>NORMDIST(G5,0,1,1)</f>
        <v>0.61183976587433286</v>
      </c>
      <c r="H7" s="61" t="s">
        <v>113</v>
      </c>
      <c r="I7" s="39"/>
    </row>
    <row r="8" spans="1:11" x14ac:dyDescent="0.2">
      <c r="A8" s="12" t="s">
        <v>7</v>
      </c>
      <c r="B8" s="11" t="s">
        <v>6</v>
      </c>
      <c r="C8" s="37">
        <v>0.4</v>
      </c>
      <c r="G8" s="8">
        <f>((C11/C9)^0.5)</f>
        <v>0.70710678118654757</v>
      </c>
      <c r="H8" s="60" t="s">
        <v>112</v>
      </c>
      <c r="I8" s="39"/>
    </row>
    <row r="9" spans="1:11" ht="14.25" x14ac:dyDescent="0.25">
      <c r="A9" s="12" t="s">
        <v>111</v>
      </c>
      <c r="B9" s="11" t="s">
        <v>110</v>
      </c>
      <c r="C9" s="37">
        <v>0.5</v>
      </c>
      <c r="G9" s="10" t="e">
        <f ca="1">bivar(F4,G4,G8)</f>
        <v>#NAME?</v>
      </c>
      <c r="H9" s="60" t="s">
        <v>109</v>
      </c>
      <c r="I9" s="38"/>
    </row>
    <row r="10" spans="1:11" x14ac:dyDescent="0.2">
      <c r="A10" s="38" t="s">
        <v>63</v>
      </c>
      <c r="B10" s="38" t="s">
        <v>62</v>
      </c>
      <c r="C10" s="37">
        <v>0</v>
      </c>
      <c r="G10" s="10" t="e">
        <f ca="1">bivar(F5,G5,G8)</f>
        <v>#NAME?</v>
      </c>
      <c r="H10" s="60" t="s">
        <v>108</v>
      </c>
      <c r="I10" s="38"/>
    </row>
    <row r="11" spans="1:11" ht="14.25" x14ac:dyDescent="0.25">
      <c r="A11" s="38" t="s">
        <v>107</v>
      </c>
      <c r="B11" s="38" t="s">
        <v>106</v>
      </c>
      <c r="C11" s="37">
        <v>0.25</v>
      </c>
    </row>
    <row r="12" spans="1:11" x14ac:dyDescent="0.2">
      <c r="E12" s="37"/>
      <c r="F12" s="37"/>
      <c r="J12" s="10"/>
      <c r="K12" s="10"/>
    </row>
    <row r="13" spans="1:11" ht="14.25" x14ac:dyDescent="0.25">
      <c r="A13" s="38" t="s">
        <v>105</v>
      </c>
      <c r="B13" s="59">
        <v>43.581910000000001</v>
      </c>
      <c r="C13" s="39" t="s">
        <v>104</v>
      </c>
      <c r="E13" s="37"/>
    </row>
    <row r="14" spans="1:11" ht="14.25" x14ac:dyDescent="0.25">
      <c r="A14" s="38" t="s">
        <v>103</v>
      </c>
      <c r="B14" s="8">
        <f>(B13-C10)*NORMDIST((LN((B13-C10)/C6)+(C7+0.5*C8^2)*(C9-C11))/(C8*(C9-C11)^0.5),0,1,1)-C6*2.7182818^(-C7*(C9-C11))*NORMDIST((LN((B13-C10)/C6)+(C7-0.5*C8^2)*(C9-C11))/(C8*(C9-C11)^0.5),0,1,1)</f>
        <v>3.0000000751937144</v>
      </c>
      <c r="C14" s="39" t="s">
        <v>102</v>
      </c>
      <c r="D14" s="39"/>
      <c r="E14" s="37"/>
    </row>
    <row r="15" spans="1:11" ht="14.25" x14ac:dyDescent="0.25">
      <c r="A15" s="58" t="s">
        <v>101</v>
      </c>
      <c r="B15" s="8">
        <f>C5</f>
        <v>3</v>
      </c>
    </row>
    <row r="21" spans="1:2" ht="16.5" x14ac:dyDescent="0.3">
      <c r="A21" s="57" t="s">
        <v>100</v>
      </c>
      <c r="B21" s="53" t="e">
        <f ca="1">C4*G9-C6*2.7182818^-(C7*C9)*G10-C5*2.7182818^-(C7*C11)*F7</f>
        <v>#NAME?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3</xdr:col>
                <xdr:colOff>190500</xdr:colOff>
                <xdr:row>11</xdr:row>
                <xdr:rowOff>9525</xdr:rowOff>
              </from>
              <to>
                <xdr:col>4</xdr:col>
                <xdr:colOff>676275</xdr:colOff>
                <xdr:row>12</xdr:row>
                <xdr:rowOff>76200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26"/>
  <sheetViews>
    <sheetView tabSelected="1" workbookViewId="0">
      <selection activeCell="A2" sqref="A2"/>
    </sheetView>
  </sheetViews>
  <sheetFormatPr defaultRowHeight="12.75" x14ac:dyDescent="0.2"/>
  <cols>
    <col min="1" max="1" width="9.140625" style="13"/>
    <col min="2" max="2" width="17.85546875" style="8" customWidth="1"/>
    <col min="3" max="3" width="8.42578125" style="8" customWidth="1"/>
    <col min="4" max="4" width="6.5703125" style="8" customWidth="1"/>
    <col min="5" max="5" width="9.140625" style="8"/>
    <col min="6" max="6" width="15.140625" style="8" customWidth="1"/>
    <col min="7" max="16384" width="9.140625" style="8"/>
  </cols>
  <sheetData>
    <row r="1" spans="1:19" s="13" customFormat="1" ht="18" x14ac:dyDescent="0.25">
      <c r="B1" s="14" t="s">
        <v>64</v>
      </c>
    </row>
    <row r="2" spans="1:19" x14ac:dyDescent="0.2">
      <c r="A2" s="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8"/>
      <c r="B3" s="12" t="s">
        <v>21</v>
      </c>
      <c r="C3" s="12" t="s">
        <v>20</v>
      </c>
      <c r="D3" s="12" t="s">
        <v>19</v>
      </c>
      <c r="E3" s="13"/>
      <c r="F3" s="12" t="s">
        <v>18</v>
      </c>
      <c r="G3" s="12" t="s">
        <v>17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8"/>
      <c r="B4" s="12" t="s">
        <v>16</v>
      </c>
      <c r="C4" s="11" t="s">
        <v>15</v>
      </c>
      <c r="D4" s="37">
        <v>50</v>
      </c>
      <c r="F4" s="11" t="s">
        <v>14</v>
      </c>
      <c r="G4" s="8">
        <f>((LN((D4-IF(D10&lt;D8,D9*EXP(-D6*D10),0))/D5))+(D6+0.5*D7^2)*D8)/(D7*D8^0.5)</f>
        <v>0.19738840433242688</v>
      </c>
    </row>
    <row r="5" spans="1:19" x14ac:dyDescent="0.2">
      <c r="A5" s="8"/>
      <c r="B5" s="12" t="s">
        <v>13</v>
      </c>
      <c r="C5" s="11" t="s">
        <v>12</v>
      </c>
      <c r="D5" s="37">
        <v>45</v>
      </c>
      <c r="F5" s="11" t="s">
        <v>11</v>
      </c>
      <c r="G5" s="8">
        <f>G4-D7*D8^0.5</f>
        <v>-8.5454308142192181E-2</v>
      </c>
    </row>
    <row r="6" spans="1:19" x14ac:dyDescent="0.2">
      <c r="A6" s="8"/>
      <c r="B6" s="12" t="s">
        <v>10</v>
      </c>
      <c r="C6" s="11" t="s">
        <v>9</v>
      </c>
      <c r="D6" s="37">
        <v>0.03</v>
      </c>
      <c r="F6" s="11" t="s">
        <v>8</v>
      </c>
      <c r="G6" s="8">
        <f>NORMDIST(G4,0,1,1)</f>
        <v>0.57823819844057422</v>
      </c>
    </row>
    <row r="7" spans="1:19" x14ac:dyDescent="0.2">
      <c r="A7" s="8"/>
      <c r="B7" s="12" t="s">
        <v>7</v>
      </c>
      <c r="C7" s="11" t="s">
        <v>6</v>
      </c>
      <c r="D7" s="37">
        <v>0.4</v>
      </c>
      <c r="F7" s="11" t="s">
        <v>5</v>
      </c>
      <c r="G7" s="8">
        <f>NORMDIST(G5,0,1,1)</f>
        <v>0.46595010968026823</v>
      </c>
    </row>
    <row r="8" spans="1:19" x14ac:dyDescent="0.2">
      <c r="A8" s="8"/>
      <c r="B8" s="12" t="s">
        <v>4</v>
      </c>
      <c r="C8" s="11" t="s">
        <v>3</v>
      </c>
      <c r="D8" s="37">
        <v>0.5</v>
      </c>
      <c r="F8" s="11" t="s">
        <v>2</v>
      </c>
      <c r="G8" s="39">
        <f>(D4-IF(D10&lt;D8,D9*EXP(-D6*D10),0))*G6-D5*2.7182818^(-D6*D8)*G7</f>
        <v>5.3867360134406788</v>
      </c>
    </row>
    <row r="9" spans="1:19" x14ac:dyDescent="0.2">
      <c r="A9" s="8"/>
      <c r="B9" s="38" t="s">
        <v>63</v>
      </c>
      <c r="C9" s="38" t="s">
        <v>62</v>
      </c>
      <c r="D9" s="37">
        <v>5</v>
      </c>
      <c r="F9" s="11" t="s">
        <v>1</v>
      </c>
      <c r="G9" s="8">
        <f>G8+D5*EXP(-D6*D8)-(D4-IF(D10&lt;D8,D9*EXP(-D6*D10),0))</f>
        <v>4.6794135696741819</v>
      </c>
    </row>
    <row r="10" spans="1:19" ht="14.25" x14ac:dyDescent="0.25">
      <c r="A10" s="8"/>
      <c r="B10" s="38" t="s">
        <v>61</v>
      </c>
      <c r="C10" s="38" t="s">
        <v>60</v>
      </c>
      <c r="D10" s="37">
        <v>0.25</v>
      </c>
    </row>
    <row r="12" spans="1:19" ht="15.75" x14ac:dyDescent="0.25">
      <c r="A12" s="8"/>
      <c r="B12" s="9" t="s">
        <v>59</v>
      </c>
    </row>
    <row r="26" s="8" customFormat="1" ht="0.75" customHeight="1" x14ac:dyDescent="0.2"/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S36"/>
  <sheetViews>
    <sheetView topLeftCell="B1" workbookViewId="0">
      <selection activeCell="B3" sqref="B3"/>
    </sheetView>
  </sheetViews>
  <sheetFormatPr defaultRowHeight="12.75" x14ac:dyDescent="0.2"/>
  <cols>
    <col min="1" max="1" width="9.140625" style="13"/>
    <col min="2" max="2" width="17.85546875" style="8" customWidth="1"/>
    <col min="3" max="3" width="8.42578125" style="8" customWidth="1"/>
    <col min="4" max="4" width="6.5703125" style="8" customWidth="1"/>
    <col min="5" max="5" width="9.140625" style="8"/>
    <col min="6" max="6" width="15.140625" style="8" customWidth="1"/>
    <col min="7" max="16384" width="9.140625" style="8"/>
  </cols>
  <sheetData>
    <row r="1" spans="2:19" s="13" customFormat="1" ht="18" x14ac:dyDescent="0.25">
      <c r="B1" s="14" t="s">
        <v>69</v>
      </c>
    </row>
    <row r="2" spans="2:19" s="8" customFormat="1" ht="15.75" x14ac:dyDescent="0.25">
      <c r="B2" s="42" t="s">
        <v>64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19" s="8" customFormat="1" x14ac:dyDescent="0.2">
      <c r="B3" s="12" t="s">
        <v>21</v>
      </c>
      <c r="C3" s="12" t="s">
        <v>20</v>
      </c>
      <c r="D3" s="12" t="s">
        <v>19</v>
      </c>
      <c r="E3" s="13"/>
      <c r="F3" s="12" t="s">
        <v>18</v>
      </c>
      <c r="G3" s="12" t="s">
        <v>17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s="8" customFormat="1" x14ac:dyDescent="0.2">
      <c r="B4" s="12" t="s">
        <v>16</v>
      </c>
      <c r="C4" s="11" t="s">
        <v>15</v>
      </c>
      <c r="D4" s="37">
        <v>50</v>
      </c>
      <c r="F4" s="11" t="s">
        <v>14</v>
      </c>
      <c r="G4" s="8">
        <f>((LN((D4-IF(D10&lt;D8,D9*EXP(-D6*D10),0))/D5))+(D6+0.5*D7^2)*D8)/(D7*D8^0.5)</f>
        <v>0.19738840433242688</v>
      </c>
    </row>
    <row r="5" spans="2:19" s="8" customFormat="1" x14ac:dyDescent="0.2">
      <c r="B5" s="12" t="s">
        <v>13</v>
      </c>
      <c r="C5" s="11" t="s">
        <v>12</v>
      </c>
      <c r="D5" s="37">
        <v>45</v>
      </c>
      <c r="F5" s="11" t="s">
        <v>11</v>
      </c>
      <c r="G5" s="8">
        <f>G4-D7*D8^0.5</f>
        <v>-8.5454308142192181E-2</v>
      </c>
    </row>
    <row r="6" spans="2:19" s="8" customFormat="1" x14ac:dyDescent="0.2">
      <c r="B6" s="12" t="s">
        <v>10</v>
      </c>
      <c r="C6" s="11" t="s">
        <v>9</v>
      </c>
      <c r="D6" s="37">
        <v>0.03</v>
      </c>
      <c r="F6" s="11" t="s">
        <v>8</v>
      </c>
      <c r="G6" s="8">
        <f>NORMDIST(G4,0,1,1)</f>
        <v>0.57823819844057422</v>
      </c>
    </row>
    <row r="7" spans="2:19" s="8" customFormat="1" x14ac:dyDescent="0.2">
      <c r="B7" s="12" t="s">
        <v>7</v>
      </c>
      <c r="C7" s="11" t="s">
        <v>6</v>
      </c>
      <c r="D7" s="37">
        <v>0.4</v>
      </c>
      <c r="F7" s="11" t="s">
        <v>5</v>
      </c>
      <c r="G7" s="8">
        <f>NORMDIST(G5,0,1,1)</f>
        <v>0.46595010968026823</v>
      </c>
    </row>
    <row r="8" spans="2:19" s="8" customFormat="1" x14ac:dyDescent="0.2">
      <c r="B8" s="12" t="s">
        <v>4</v>
      </c>
      <c r="C8" s="11" t="s">
        <v>3</v>
      </c>
      <c r="D8" s="37">
        <v>0.5</v>
      </c>
      <c r="F8" s="11" t="s">
        <v>2</v>
      </c>
      <c r="G8" s="39">
        <f>(D4-IF(D10&lt;D8,D9*EXP(-D6*D10),0))*G6-D5*2.7182818^(-D6*D8)*G7</f>
        <v>5.3867360134406788</v>
      </c>
    </row>
    <row r="9" spans="2:19" s="8" customFormat="1" x14ac:dyDescent="0.2">
      <c r="B9" s="38" t="s">
        <v>63</v>
      </c>
      <c r="C9" s="38" t="s">
        <v>62</v>
      </c>
      <c r="D9" s="37">
        <v>5</v>
      </c>
      <c r="F9" s="11" t="s">
        <v>1</v>
      </c>
      <c r="G9" s="8">
        <f>G8+D5*EXP(-D6*D8)-(D4-IF(D10&lt;D8,D9*EXP(-D6*D10),0))</f>
        <v>4.6794135696741819</v>
      </c>
    </row>
    <row r="10" spans="2:19" s="8" customFormat="1" ht="14.25" x14ac:dyDescent="0.25">
      <c r="B10" s="38" t="s">
        <v>61</v>
      </c>
      <c r="C10" s="38" t="s">
        <v>60</v>
      </c>
      <c r="D10" s="37">
        <v>0.25</v>
      </c>
    </row>
    <row r="12" spans="2:19" s="8" customFormat="1" ht="15.75" x14ac:dyDescent="0.25">
      <c r="B12" s="9" t="s">
        <v>59</v>
      </c>
    </row>
    <row r="27" spans="2:7" s="8" customFormat="1" ht="14.25" x14ac:dyDescent="0.2">
      <c r="B27" s="41" t="s">
        <v>68</v>
      </c>
      <c r="C27" s="8">
        <f>D5*(1-2.7182818^(-D6*(D8-D10)))</f>
        <v>0.3362375296317166</v>
      </c>
      <c r="D27" s="10" t="s">
        <v>67</v>
      </c>
    </row>
    <row r="28" spans="2:7" s="8" customFormat="1" x14ac:dyDescent="0.2">
      <c r="B28" s="39" t="s">
        <v>66</v>
      </c>
    </row>
    <row r="29" spans="2:7" s="8" customFormat="1" x14ac:dyDescent="0.2">
      <c r="B29" s="12" t="s">
        <v>21</v>
      </c>
      <c r="C29" s="12" t="s">
        <v>20</v>
      </c>
      <c r="D29" s="12" t="s">
        <v>19</v>
      </c>
      <c r="E29" s="13"/>
      <c r="F29" s="12" t="s">
        <v>18</v>
      </c>
      <c r="G29" s="12" t="s">
        <v>17</v>
      </c>
    </row>
    <row r="30" spans="2:7" s="8" customFormat="1" x14ac:dyDescent="0.2">
      <c r="B30" s="12" t="s">
        <v>16</v>
      </c>
      <c r="C30" s="11" t="s">
        <v>15</v>
      </c>
      <c r="D30" s="40">
        <f>D4</f>
        <v>50</v>
      </c>
      <c r="F30" s="11" t="s">
        <v>14</v>
      </c>
      <c r="G30" s="8">
        <f>((LN(D30/D31))+(D32+0.5*D33^2)*D36)/(D33*D36^0.5)</f>
        <v>0.66430257828913175</v>
      </c>
    </row>
    <row r="31" spans="2:7" s="8" customFormat="1" x14ac:dyDescent="0.2">
      <c r="B31" s="12" t="s">
        <v>13</v>
      </c>
      <c r="C31" s="11" t="s">
        <v>12</v>
      </c>
      <c r="D31" s="40">
        <f>D5</f>
        <v>45</v>
      </c>
      <c r="F31" s="11" t="s">
        <v>11</v>
      </c>
      <c r="G31" s="8">
        <f>G30-D33*D36^0.5</f>
        <v>0.46430257828913174</v>
      </c>
    </row>
    <row r="32" spans="2:7" s="8" customFormat="1" x14ac:dyDescent="0.2">
      <c r="B32" s="12" t="s">
        <v>10</v>
      </c>
      <c r="C32" s="11" t="s">
        <v>9</v>
      </c>
      <c r="D32" s="40">
        <f>D6</f>
        <v>0.03</v>
      </c>
      <c r="F32" s="11" t="s">
        <v>8</v>
      </c>
      <c r="G32" s="8">
        <f>NORMDIST(G30,0,1,1)</f>
        <v>0.74675166440505347</v>
      </c>
    </row>
    <row r="33" spans="2:7" s="8" customFormat="1" x14ac:dyDescent="0.2">
      <c r="B33" s="12" t="s">
        <v>7</v>
      </c>
      <c r="C33" s="11" t="s">
        <v>6</v>
      </c>
      <c r="D33" s="40">
        <f>D7</f>
        <v>0.4</v>
      </c>
      <c r="F33" s="11" t="s">
        <v>5</v>
      </c>
      <c r="G33" s="8">
        <f>NORMDIST(G31,0,1,1)</f>
        <v>0.67878451149088204</v>
      </c>
    </row>
    <row r="34" spans="2:7" s="8" customFormat="1" x14ac:dyDescent="0.2">
      <c r="B34" s="12" t="s">
        <v>4</v>
      </c>
      <c r="C34" s="11" t="s">
        <v>3</v>
      </c>
      <c r="D34" s="40">
        <f>D36</f>
        <v>0.25</v>
      </c>
      <c r="F34" s="11" t="s">
        <v>2</v>
      </c>
      <c r="G34" s="39">
        <f>(D30*G32)-D31*2.7182818^(-D32*D36)*G33</f>
        <v>7.0205130304589503</v>
      </c>
    </row>
    <row r="35" spans="2:7" s="8" customFormat="1" x14ac:dyDescent="0.2">
      <c r="B35" s="38" t="s">
        <v>63</v>
      </c>
      <c r="C35" s="38" t="s">
        <v>62</v>
      </c>
      <c r="D35" s="40">
        <f>D9</f>
        <v>5</v>
      </c>
      <c r="F35" s="11" t="s">
        <v>1</v>
      </c>
      <c r="G35" s="8">
        <f>G34+D31*EXP(-D32*D34)-(D30-IF(D36&lt;D34,D35*EXP(-D32*D36),0))</f>
        <v>1.6842754973201792</v>
      </c>
    </row>
    <row r="36" spans="2:7" s="8" customFormat="1" ht="14.25" x14ac:dyDescent="0.25">
      <c r="B36" s="38" t="s">
        <v>61</v>
      </c>
      <c r="C36" s="38" t="s">
        <v>65</v>
      </c>
      <c r="D36" s="40">
        <f>D10</f>
        <v>0.25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 sizeWithCells="1">
              <from>
                <xdr:col>1</xdr:col>
                <xdr:colOff>952500</xdr:colOff>
                <xdr:row>16</xdr:row>
                <xdr:rowOff>66675</xdr:rowOff>
              </from>
              <to>
                <xdr:col>5</xdr:col>
                <xdr:colOff>619125</xdr:colOff>
                <xdr:row>21</xdr:row>
                <xdr:rowOff>38100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autoPict="0" r:id="rId7">
            <anchor moveWithCells="1" sizeWithCells="1">
              <from>
                <xdr:col>1</xdr:col>
                <xdr:colOff>942975</xdr:colOff>
                <xdr:row>12</xdr:row>
                <xdr:rowOff>142875</xdr:rowOff>
              </from>
              <to>
                <xdr:col>9</xdr:col>
                <xdr:colOff>428625</xdr:colOff>
                <xdr:row>16</xdr:row>
                <xdr:rowOff>19050</xdr:rowOff>
              </to>
            </anchor>
          </objectPr>
        </oleObject>
      </mc:Choice>
      <mc:Fallback>
        <oleObject progId="Equation.3" shapeId="6146" r:id="rId6"/>
      </mc:Fallback>
    </mc:AlternateContent>
    <mc:AlternateContent xmlns:mc="http://schemas.openxmlformats.org/markup-compatibility/2006">
      <mc:Choice Requires="x14">
        <oleObject progId="Equation.3" shapeId="6147" r:id="rId8">
          <objectPr defaultSize="0" autoPict="0" r:id="rId9">
            <anchor moveWithCells="1" sizeWithCells="1">
              <from>
                <xdr:col>1</xdr:col>
                <xdr:colOff>981075</xdr:colOff>
                <xdr:row>21</xdr:row>
                <xdr:rowOff>133350</xdr:rowOff>
              </from>
              <to>
                <xdr:col>3</xdr:col>
                <xdr:colOff>419100</xdr:colOff>
                <xdr:row>23</xdr:row>
                <xdr:rowOff>85725</xdr:rowOff>
              </to>
            </anchor>
          </objectPr>
        </oleObject>
      </mc:Choice>
      <mc:Fallback>
        <oleObject progId="Equation.3" shapeId="6147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selection activeCell="B15" sqref="B15"/>
    </sheetView>
  </sheetViews>
  <sheetFormatPr defaultRowHeight="12.75" x14ac:dyDescent="0.2"/>
  <cols>
    <col min="1" max="1" width="18" style="8" customWidth="1"/>
    <col min="2" max="2" width="9.140625" style="8" customWidth="1"/>
    <col min="3" max="3" width="9.140625" style="8"/>
    <col min="4" max="4" width="6.28515625" style="8" customWidth="1"/>
    <col min="5" max="5" width="14.5703125" style="8" customWidth="1"/>
    <col min="6" max="6" width="12.42578125" style="8" customWidth="1"/>
    <col min="7" max="7" width="9.85546875" style="8" customWidth="1"/>
    <col min="8" max="16384" width="9.140625" style="8"/>
  </cols>
  <sheetData>
    <row r="1" spans="1:11" ht="18" x14ac:dyDescent="0.25">
      <c r="A1" s="14" t="s">
        <v>131</v>
      </c>
      <c r="B1" s="13"/>
      <c r="C1" s="13"/>
      <c r="D1" s="13"/>
      <c r="E1" s="13"/>
      <c r="F1" s="13"/>
      <c r="G1" s="33"/>
      <c r="H1" s="33"/>
      <c r="I1" s="33"/>
    </row>
    <row r="2" spans="1:11" x14ac:dyDescent="0.2">
      <c r="A2" s="13"/>
      <c r="B2" s="13"/>
      <c r="C2" s="13"/>
      <c r="D2" s="13"/>
      <c r="E2" s="13"/>
      <c r="F2" s="13"/>
    </row>
    <row r="3" spans="1:11" x14ac:dyDescent="0.2">
      <c r="A3" s="12" t="s">
        <v>21</v>
      </c>
      <c r="B3" s="12" t="s">
        <v>20</v>
      </c>
      <c r="C3" s="12" t="s">
        <v>19</v>
      </c>
      <c r="D3" s="13"/>
      <c r="E3" s="12" t="s">
        <v>18</v>
      </c>
      <c r="F3" s="12" t="s">
        <v>17</v>
      </c>
    </row>
    <row r="4" spans="1:11" x14ac:dyDescent="0.2">
      <c r="A4" s="12" t="s">
        <v>16</v>
      </c>
      <c r="B4" s="11" t="s">
        <v>15</v>
      </c>
      <c r="C4" s="37">
        <v>50</v>
      </c>
      <c r="E4" s="11" t="s">
        <v>14</v>
      </c>
      <c r="F4" s="8">
        <f>((LN((C4-IF(C10&lt;C8,C9*EXP(-C6*C10),0))/C5))+(C6+0.5*C7^2)*C8)/(C7*C8^0.5)</f>
        <v>0.19738840433242688</v>
      </c>
      <c r="G4" s="8">
        <f>((LN((C4-IF(C10&lt;C8,C9*EXP(-C6*C10),0))/B13))+(C6+0.5*C7^2)*C10)/(C7*C10^0.5)</f>
        <v>0.66920730244807025</v>
      </c>
      <c r="H4" s="60" t="s">
        <v>119</v>
      </c>
      <c r="I4" s="39"/>
    </row>
    <row r="5" spans="1:11" x14ac:dyDescent="0.2">
      <c r="A5" s="12" t="s">
        <v>13</v>
      </c>
      <c r="B5" s="11" t="s">
        <v>12</v>
      </c>
      <c r="C5" s="37">
        <v>45</v>
      </c>
      <c r="E5" s="11" t="s">
        <v>11</v>
      </c>
      <c r="F5" s="8">
        <f>F4-C7*C8^0.5</f>
        <v>-8.5454308142192181E-2</v>
      </c>
      <c r="G5" s="8">
        <f>(G4-C7*C10^0.5)</f>
        <v>0.46920730244807024</v>
      </c>
      <c r="H5" s="60" t="s">
        <v>117</v>
      </c>
      <c r="I5" s="39"/>
    </row>
    <row r="6" spans="1:11" ht="14.25" x14ac:dyDescent="0.25">
      <c r="A6" s="12" t="s">
        <v>10</v>
      </c>
      <c r="B6" s="11" t="s">
        <v>9</v>
      </c>
      <c r="C6" s="37">
        <v>0.03</v>
      </c>
      <c r="E6" s="11" t="s">
        <v>8</v>
      </c>
      <c r="F6" s="8">
        <f>NORMDIST(F4,0,1,1)</f>
        <v>0.57823819844057422</v>
      </c>
      <c r="G6" s="8">
        <f>NORMDIST(G4,0,1,1)</f>
        <v>0.7483183756745394</v>
      </c>
      <c r="H6" s="61" t="s">
        <v>114</v>
      </c>
      <c r="I6" s="39"/>
    </row>
    <row r="7" spans="1:11" ht="14.25" x14ac:dyDescent="0.25">
      <c r="A7" s="12" t="s">
        <v>7</v>
      </c>
      <c r="B7" s="11" t="s">
        <v>6</v>
      </c>
      <c r="C7" s="37">
        <v>0.4</v>
      </c>
      <c r="E7" s="11" t="s">
        <v>5</v>
      </c>
      <c r="F7" s="8">
        <f>NORMDIST(F5,0,1,1)</f>
        <v>0.46595010968026823</v>
      </c>
      <c r="G7" s="8">
        <f>NORMDIST(G5,0,1,1)</f>
        <v>0.68053926684943855</v>
      </c>
      <c r="H7" s="61" t="s">
        <v>113</v>
      </c>
      <c r="I7" s="39"/>
    </row>
    <row r="8" spans="1:11" x14ac:dyDescent="0.2">
      <c r="A8" s="12" t="s">
        <v>4</v>
      </c>
      <c r="B8" s="11" t="s">
        <v>3</v>
      </c>
      <c r="C8" s="37">
        <v>0.5</v>
      </c>
      <c r="G8" s="8">
        <f>((C10/C8)^0.5)</f>
        <v>0.70710678118654757</v>
      </c>
      <c r="H8" s="60" t="s">
        <v>112</v>
      </c>
      <c r="I8" s="39"/>
    </row>
    <row r="9" spans="1:11" x14ac:dyDescent="0.2">
      <c r="A9" s="38" t="s">
        <v>63</v>
      </c>
      <c r="B9" s="38" t="s">
        <v>62</v>
      </c>
      <c r="C9" s="37">
        <v>5</v>
      </c>
      <c r="G9" s="10" t="e">
        <f ca="1">bivar(F4,-G4,-G8)</f>
        <v>#NAME?</v>
      </c>
      <c r="H9" s="60" t="s">
        <v>130</v>
      </c>
      <c r="I9" s="38"/>
    </row>
    <row r="10" spans="1:11" ht="14.25" x14ac:dyDescent="0.25">
      <c r="A10" s="38" t="s">
        <v>61</v>
      </c>
      <c r="B10" s="38" t="s">
        <v>65</v>
      </c>
      <c r="C10" s="37">
        <v>0.25</v>
      </c>
      <c r="G10" s="10" t="e">
        <f ca="1">bivar(F5,-G5,-G8)</f>
        <v>#NAME?</v>
      </c>
      <c r="H10" s="60" t="s">
        <v>129</v>
      </c>
      <c r="I10" s="38"/>
    </row>
    <row r="12" spans="1:11" x14ac:dyDescent="0.2">
      <c r="E12" s="37"/>
      <c r="F12" s="37"/>
      <c r="J12" s="10"/>
      <c r="K12" s="10"/>
    </row>
    <row r="13" spans="1:11" ht="14.25" x14ac:dyDescent="0.25">
      <c r="A13" s="38" t="s">
        <v>128</v>
      </c>
      <c r="B13" s="59">
        <v>40.493881999999999</v>
      </c>
      <c r="C13" s="39" t="s">
        <v>127</v>
      </c>
      <c r="D13" s="39"/>
      <c r="E13" s="37"/>
      <c r="F13" s="37"/>
      <c r="H13" s="64"/>
      <c r="I13" s="65"/>
      <c r="J13" s="64"/>
    </row>
    <row r="14" spans="1:11" ht="14.25" x14ac:dyDescent="0.25">
      <c r="A14" s="38" t="s">
        <v>103</v>
      </c>
      <c r="B14" s="8">
        <f>(B13-C9)*NORMDIST((LN((B13-C9)/C5)+(C6+0.5*C7^2)*(C8-C10))/(C7*(C8-C10)^0.5),0,1,1)-C5*2.7182818^(-C6*(C8-C10))*NORMDIST((LN((B13-C9)/C5)+(C6-0.5*C7^2)*(C8-C10))/(C7*(C8-C10)^0.5),0,1,1)</f>
        <v>0.49388242027942919</v>
      </c>
      <c r="C14" s="39" t="s">
        <v>102</v>
      </c>
      <c r="D14" s="39"/>
      <c r="E14" s="37"/>
      <c r="F14" s="37"/>
      <c r="G14" s="8">
        <v>1.5</v>
      </c>
      <c r="H14" s="8">
        <v>0.3</v>
      </c>
      <c r="I14" s="62" t="s">
        <v>119</v>
      </c>
    </row>
    <row r="15" spans="1:11" ht="14.25" x14ac:dyDescent="0.25">
      <c r="A15" s="38" t="s">
        <v>126</v>
      </c>
      <c r="B15" s="8">
        <f>B13+C9-C5</f>
        <v>0.49388199999999927</v>
      </c>
      <c r="G15" s="8">
        <f>G14-D17*D18^0.5</f>
        <v>-6.2381348313356746</v>
      </c>
      <c r="H15" s="8">
        <f>(H14-D17*D20^0.5)</f>
        <v>0.3</v>
      </c>
      <c r="I15" s="62" t="s">
        <v>117</v>
      </c>
    </row>
    <row r="16" spans="1:11" ht="15.75" x14ac:dyDescent="0.3">
      <c r="G16" s="8">
        <f>NORMDIST(G14,0,1,1)</f>
        <v>0.93319279873114191</v>
      </c>
      <c r="H16" s="8">
        <f>NORMDIST(H14,0,1,1)</f>
        <v>0.61791142218895267</v>
      </c>
      <c r="I16" s="63" t="s">
        <v>125</v>
      </c>
    </row>
    <row r="17" spans="1:10" ht="15.75" x14ac:dyDescent="0.3">
      <c r="D17" s="8">
        <f>G6/G7</f>
        <v>1.099596176336576</v>
      </c>
      <c r="G17" s="8">
        <f>NORMDIST(G15,0,1,1)</f>
        <v>2.214094554808124E-10</v>
      </c>
      <c r="H17" s="8">
        <f>NORMDIST(H15,0,1,1)</f>
        <v>0.61791142218895267</v>
      </c>
      <c r="I17" s="63" t="s">
        <v>124</v>
      </c>
    </row>
    <row r="18" spans="1:10" x14ac:dyDescent="0.2">
      <c r="D18" s="8">
        <f>(C4-C9*2.7182818^-(C10*C6))*D17</f>
        <v>49.522908546470795</v>
      </c>
      <c r="H18" s="8">
        <v>0.5</v>
      </c>
      <c r="I18" s="62" t="s">
        <v>112</v>
      </c>
    </row>
    <row r="19" spans="1:10" x14ac:dyDescent="0.2">
      <c r="D19" s="8">
        <f>D18-C9*2.7182818^-(C10*C6)</f>
        <v>44.560268271985429</v>
      </c>
      <c r="H19" s="10" t="e">
        <f ca="1">bivar(G14,H14,H18)</f>
        <v>#NAME?</v>
      </c>
      <c r="I19" s="62" t="s">
        <v>123</v>
      </c>
      <c r="J19" s="33"/>
    </row>
    <row r="20" spans="1:10" x14ac:dyDescent="0.2">
      <c r="H20" s="10" t="e">
        <f ca="1">bivar(G15,-H15,H18)</f>
        <v>#NAME?</v>
      </c>
      <c r="I20" s="62" t="s">
        <v>122</v>
      </c>
      <c r="J20" s="33"/>
    </row>
    <row r="21" spans="1:10" ht="16.5" x14ac:dyDescent="0.3">
      <c r="A21" s="57" t="s">
        <v>121</v>
      </c>
      <c r="B21" s="53" t="e">
        <f ca="1">SUM(B26:B35)</f>
        <v>#NAME?</v>
      </c>
    </row>
    <row r="26" spans="1:10" x14ac:dyDescent="0.2">
      <c r="B26" s="33">
        <f>($C$4-$C$9*2.7182818^(-$C$6*$C$10))*G6</f>
        <v>33.702283874467028</v>
      </c>
    </row>
    <row r="27" spans="1:10" x14ac:dyDescent="0.2">
      <c r="B27" s="33"/>
    </row>
    <row r="28" spans="1:10" x14ac:dyDescent="0.2">
      <c r="B28" s="33"/>
    </row>
    <row r="29" spans="1:10" x14ac:dyDescent="0.2">
      <c r="B29" s="33" t="e">
        <f ca="1">($C$4-$C$9*2.7182818^(-$C$6*$C$10))*G9</f>
        <v>#NAME?</v>
      </c>
    </row>
    <row r="30" spans="1:10" x14ac:dyDescent="0.2">
      <c r="B30" s="33"/>
    </row>
    <row r="31" spans="1:10" x14ac:dyDescent="0.2">
      <c r="B31" s="33"/>
    </row>
    <row r="32" spans="1:10" x14ac:dyDescent="0.2">
      <c r="B32" s="33" t="e">
        <f ca="1">-($C$5*2.7182818^(-$C$6*$C$8))*G10</f>
        <v>#NAME?</v>
      </c>
    </row>
    <row r="33" spans="2:2" x14ac:dyDescent="0.2">
      <c r="B33" s="33"/>
    </row>
    <row r="34" spans="2:2" x14ac:dyDescent="0.2">
      <c r="B34" s="33"/>
    </row>
    <row r="35" spans="2:2" x14ac:dyDescent="0.2">
      <c r="B35" s="33">
        <f>-(($C$5-$C$9)*2.7182818^(-$C$6*$C$10))*G7</f>
        <v>-27.018172592286131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r:id="rId5">
            <anchor moveWithCells="1">
              <from>
                <xdr:col>2</xdr:col>
                <xdr:colOff>0</xdr:colOff>
                <xdr:row>27</xdr:row>
                <xdr:rowOff>28575</xdr:rowOff>
              </from>
              <to>
                <xdr:col>4</xdr:col>
                <xdr:colOff>504825</xdr:colOff>
                <xdr:row>29</xdr:row>
                <xdr:rowOff>85725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r:id="rId7">
            <anchor moveWithCells="1">
              <from>
                <xdr:col>2</xdr:col>
                <xdr:colOff>57150</xdr:colOff>
                <xdr:row>30</xdr:row>
                <xdr:rowOff>85725</xdr:rowOff>
              </from>
              <to>
                <xdr:col>4</xdr:col>
                <xdr:colOff>304800</xdr:colOff>
                <xdr:row>32</xdr:row>
                <xdr:rowOff>142875</xdr:rowOff>
              </to>
            </anchor>
          </objectPr>
        </oleObject>
      </mc:Choice>
      <mc:Fallback>
        <oleObject progId="Equation.3" shapeId="11266" r:id="rId6"/>
      </mc:Fallback>
    </mc:AlternateContent>
    <mc:AlternateContent xmlns:mc="http://schemas.openxmlformats.org/markup-compatibility/2006">
      <mc:Choice Requires="x14">
        <oleObject progId="Equation.3" shapeId="11267" r:id="rId8">
          <objectPr defaultSize="0" r:id="rId9">
            <anchor moveWithCells="1">
              <from>
                <xdr:col>2</xdr:col>
                <xdr:colOff>0</xdr:colOff>
                <xdr:row>34</xdr:row>
                <xdr:rowOff>0</xdr:rowOff>
              </from>
              <to>
                <xdr:col>3</xdr:col>
                <xdr:colOff>400050</xdr:colOff>
                <xdr:row>35</xdr:row>
                <xdr:rowOff>9525</xdr:rowOff>
              </to>
            </anchor>
          </objectPr>
        </oleObject>
      </mc:Choice>
      <mc:Fallback>
        <oleObject progId="Equation.3" shapeId="11267" r:id="rId8"/>
      </mc:Fallback>
    </mc:AlternateContent>
    <mc:AlternateContent xmlns:mc="http://schemas.openxmlformats.org/markup-compatibility/2006">
      <mc:Choice Requires="x14">
        <oleObject progId="Equation.3" shapeId="11268" r:id="rId10">
          <objectPr defaultSize="0" r:id="rId11">
            <anchor moveWithCells="1">
              <from>
                <xdr:col>2</xdr:col>
                <xdr:colOff>28575</xdr:colOff>
                <xdr:row>25</xdr:row>
                <xdr:rowOff>28575</xdr:rowOff>
              </from>
              <to>
                <xdr:col>4</xdr:col>
                <xdr:colOff>0</xdr:colOff>
                <xdr:row>26</xdr:row>
                <xdr:rowOff>47625</xdr:rowOff>
              </to>
            </anchor>
          </objectPr>
        </oleObject>
      </mc:Choice>
      <mc:Fallback>
        <oleObject progId="Equation.3" shapeId="11268" r:id="rId10"/>
      </mc:Fallback>
    </mc:AlternateContent>
    <mc:AlternateContent xmlns:mc="http://schemas.openxmlformats.org/markup-compatibility/2006">
      <mc:Choice Requires="x14">
        <oleObject progId="Equation.3" shapeId="11269" r:id="rId12">
          <objectPr defaultSize="0" autoPict="0" r:id="rId13">
            <anchor moveWithCells="1" sizeWithCells="1">
              <from>
                <xdr:col>8</xdr:col>
                <xdr:colOff>57150</xdr:colOff>
                <xdr:row>1</xdr:row>
                <xdr:rowOff>0</xdr:rowOff>
              </from>
              <to>
                <xdr:col>11</xdr:col>
                <xdr:colOff>371475</xdr:colOff>
                <xdr:row>4</xdr:row>
                <xdr:rowOff>114300</xdr:rowOff>
              </to>
            </anchor>
          </objectPr>
        </oleObject>
      </mc:Choice>
      <mc:Fallback>
        <oleObject progId="Equation.3" shapeId="11269" r:id="rId12"/>
      </mc:Fallback>
    </mc:AlternateContent>
    <mc:AlternateContent xmlns:mc="http://schemas.openxmlformats.org/markup-compatibility/2006">
      <mc:Choice Requires="x14">
        <oleObject progId="Equation.3" shapeId="11270" r:id="rId14">
          <objectPr defaultSize="0" autoPict="0" r:id="rId15">
            <anchor moveWithCells="1" sizeWithCells="1">
              <from>
                <xdr:col>2</xdr:col>
                <xdr:colOff>76200</xdr:colOff>
                <xdr:row>19</xdr:row>
                <xdr:rowOff>76200</xdr:rowOff>
              </from>
              <to>
                <xdr:col>6</xdr:col>
                <xdr:colOff>504825</xdr:colOff>
                <xdr:row>24</xdr:row>
                <xdr:rowOff>114300</xdr:rowOff>
              </to>
            </anchor>
          </objectPr>
        </oleObject>
      </mc:Choice>
      <mc:Fallback>
        <oleObject progId="Equation.3" shapeId="11270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S27"/>
  <sheetViews>
    <sheetView topLeftCell="B1" workbookViewId="0">
      <selection activeCell="D4" sqref="D4"/>
    </sheetView>
  </sheetViews>
  <sheetFormatPr defaultRowHeight="12.75" x14ac:dyDescent="0.2"/>
  <cols>
    <col min="1" max="1" width="9.140625" style="13"/>
    <col min="2" max="2" width="17.85546875" style="8" customWidth="1"/>
    <col min="3" max="3" width="8.42578125" style="8" customWidth="1"/>
    <col min="4" max="4" width="6.5703125" style="8" customWidth="1"/>
    <col min="5" max="5" width="9.140625" style="8"/>
    <col min="6" max="6" width="15.140625" style="8" customWidth="1"/>
    <col min="7" max="16384" width="9.140625" style="8"/>
  </cols>
  <sheetData>
    <row r="1" spans="2:19" s="13" customFormat="1" ht="18" x14ac:dyDescent="0.25">
      <c r="B1" s="14" t="s">
        <v>74</v>
      </c>
    </row>
    <row r="2" spans="2:19" s="8" customForma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19" s="8" customFormat="1" x14ac:dyDescent="0.2">
      <c r="B3" s="12" t="s">
        <v>21</v>
      </c>
      <c r="C3" s="12" t="s">
        <v>20</v>
      </c>
      <c r="D3" s="12" t="s">
        <v>19</v>
      </c>
      <c r="E3" s="13"/>
      <c r="F3" s="12" t="s">
        <v>18</v>
      </c>
      <c r="G3" s="12" t="s">
        <v>17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s="8" customFormat="1" x14ac:dyDescent="0.2">
      <c r="B4" s="12" t="s">
        <v>16</v>
      </c>
      <c r="C4" s="11" t="s">
        <v>15</v>
      </c>
      <c r="D4" s="37">
        <v>75</v>
      </c>
      <c r="F4" s="11" t="s">
        <v>14</v>
      </c>
      <c r="G4" s="8">
        <f>((LN(D4/D5))+(D6-D9+0.5*D7^2)*D8)/(D7*D8^0.5)</f>
        <v>5.4664582753979479E-2</v>
      </c>
    </row>
    <row r="5" spans="2:19" s="8" customFormat="1" x14ac:dyDescent="0.2">
      <c r="B5" s="12" t="s">
        <v>13</v>
      </c>
      <c r="C5" s="11" t="s">
        <v>12</v>
      </c>
      <c r="D5" s="37">
        <v>80</v>
      </c>
      <c r="F5" s="11" t="s">
        <v>11</v>
      </c>
      <c r="G5" s="8">
        <f>G4-D7*D8^0.5</f>
        <v>-0.22817812972063958</v>
      </c>
    </row>
    <row r="6" spans="2:19" s="8" customFormat="1" x14ac:dyDescent="0.2">
      <c r="B6" s="12" t="s">
        <v>10</v>
      </c>
      <c r="C6" s="11" t="s">
        <v>9</v>
      </c>
      <c r="D6" s="37">
        <v>0.1</v>
      </c>
      <c r="F6" s="11" t="s">
        <v>8</v>
      </c>
      <c r="G6" s="8">
        <f>NORMDIST(G4,0,1,1)</f>
        <v>0.52179715698974583</v>
      </c>
    </row>
    <row r="7" spans="2:19" s="8" customFormat="1" x14ac:dyDescent="0.2">
      <c r="B7" s="12" t="s">
        <v>7</v>
      </c>
      <c r="C7" s="11" t="s">
        <v>6</v>
      </c>
      <c r="D7" s="37">
        <v>0.4</v>
      </c>
      <c r="F7" s="11" t="s">
        <v>5</v>
      </c>
      <c r="G7" s="8">
        <f>NORMDIST(G5,0,1,1)</f>
        <v>0.40975388147424863</v>
      </c>
    </row>
    <row r="8" spans="2:19" s="8" customFormat="1" x14ac:dyDescent="0.2">
      <c r="B8" s="12" t="s">
        <v>4</v>
      </c>
      <c r="C8" s="11" t="s">
        <v>3</v>
      </c>
      <c r="D8" s="37">
        <v>0.5</v>
      </c>
      <c r="F8" s="11" t="s">
        <v>2</v>
      </c>
      <c r="G8" s="8">
        <f>D4*(2.7182818^(-D9*D8))*G6-D5*2.7182818^(-D6*D8)*G7</f>
        <v>7.5637932184354817</v>
      </c>
    </row>
    <row r="9" spans="2:19" s="8" customFormat="1" ht="15.75" x14ac:dyDescent="0.25">
      <c r="B9" s="12" t="s">
        <v>73</v>
      </c>
      <c r="C9" s="44" t="s">
        <v>72</v>
      </c>
      <c r="D9" s="37">
        <v>0.02</v>
      </c>
      <c r="F9" s="11" t="s">
        <v>1</v>
      </c>
      <c r="G9" s="8">
        <f>G8+D5*EXP(-D6*D8)-D4*(2.7182818^(-D9*D8))</f>
        <v>9.4084096395310155</v>
      </c>
    </row>
    <row r="12" spans="2:19" s="8" customFormat="1" ht="15.75" x14ac:dyDescent="0.25">
      <c r="B12" s="9" t="s">
        <v>71</v>
      </c>
    </row>
    <row r="19" spans="3:3" s="8" customFormat="1" x14ac:dyDescent="0.2"/>
    <row r="27" spans="3:3" s="8" customFormat="1" ht="20.25" x14ac:dyDescent="0.35">
      <c r="C27" s="43" t="s">
        <v>70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1</xdr:col>
                <xdr:colOff>390525</xdr:colOff>
                <xdr:row>12</xdr:row>
                <xdr:rowOff>152400</xdr:rowOff>
              </from>
              <to>
                <xdr:col>5</xdr:col>
                <xdr:colOff>323850</xdr:colOff>
                <xdr:row>16</xdr:row>
                <xdr:rowOff>85725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7">
            <anchor moveWithCells="1" sizeWithCells="1">
              <from>
                <xdr:col>1</xdr:col>
                <xdr:colOff>895350</xdr:colOff>
                <xdr:row>23</xdr:row>
                <xdr:rowOff>28575</xdr:rowOff>
              </from>
              <to>
                <xdr:col>4</xdr:col>
                <xdr:colOff>371475</xdr:colOff>
                <xdr:row>25</xdr:row>
                <xdr:rowOff>76200</xdr:rowOff>
              </to>
            </anchor>
          </objectPr>
        </oleObject>
      </mc:Choice>
      <mc:Fallback>
        <oleObject progId="Equation.3" shapeId="7170" r:id="rId6"/>
      </mc:Fallback>
    </mc:AlternateContent>
    <mc:AlternateContent xmlns:mc="http://schemas.openxmlformats.org/markup-compatibility/2006">
      <mc:Choice Requires="x14">
        <oleObject progId="Equation.3" shapeId="7171" r:id="rId8">
          <objectPr defaultSize="0" autoPict="0" r:id="rId9">
            <anchor moveWithCells="1" sizeWithCells="1">
              <from>
                <xdr:col>1</xdr:col>
                <xdr:colOff>352425</xdr:colOff>
                <xdr:row>17</xdr:row>
                <xdr:rowOff>0</xdr:rowOff>
              </from>
              <to>
                <xdr:col>5</xdr:col>
                <xdr:colOff>180975</xdr:colOff>
                <xdr:row>22</xdr:row>
                <xdr:rowOff>76200</xdr:rowOff>
              </to>
            </anchor>
          </objectPr>
        </oleObject>
      </mc:Choice>
      <mc:Fallback>
        <oleObject progId="Equation.3" shapeId="717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Black Scholes Option Pricing</vt:lpstr>
      <vt:lpstr>Bisection Method</vt:lpstr>
      <vt:lpstr>Newton-Raphson</vt:lpstr>
      <vt:lpstr>Black Scholes Variance Estimate</vt:lpstr>
      <vt:lpstr>Compound Option Model</vt:lpstr>
      <vt:lpstr>European Known Dividend Model</vt:lpstr>
      <vt:lpstr>Black's Pseudo American Call</vt:lpstr>
      <vt:lpstr>Geske Roll Whaley Model</vt:lpstr>
      <vt:lpstr>Merton Dividend Leakage</vt:lpstr>
      <vt:lpstr>Margrabe Exchange Options</vt:lpstr>
      <vt:lpstr>Currency Option Pricing</vt:lpstr>
      <vt:lpstr>Chooser Options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Susan Ikeda</cp:lastModifiedBy>
  <dcterms:created xsi:type="dcterms:W3CDTF">2015-01-28T19:43:08Z</dcterms:created>
  <dcterms:modified xsi:type="dcterms:W3CDTF">2015-08-04T16:24:38Z</dcterms:modified>
</cp:coreProperties>
</file>